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gulek\OneDrive\Рабочий стол\НОБД СШ7\Аттестация 2023-2024\"/>
    </mc:Choice>
  </mc:AlternateContent>
  <bookViews>
    <workbookView xWindow="0" yWindow="0" windowWidth="23040" windowHeight="8784" activeTab="1"/>
  </bookViews>
  <sheets>
    <sheet name="Педагоги." sheetId="2" r:id="rId1"/>
    <sheet name="Тех.персонал" sheetId="3" r:id="rId2"/>
  </sheets>
  <definedNames>
    <definedName name="_xlnm._FilterDatabase" localSheetId="0" hidden="1">Педагоги.!$A$1:$CY$103</definedName>
    <definedName name="_xlnm._FilterDatabase" localSheetId="1" hidden="1">Тех.персонал!$A$1:$CY$103</definedName>
  </definedNames>
  <calcPr calcId="162913"/>
</workbook>
</file>

<file path=xl/calcChain.xml><?xml version="1.0" encoding="utf-8"?>
<calcChain xmlns="http://schemas.openxmlformats.org/spreadsheetml/2006/main">
  <c r="AT103" i="3" l="1"/>
  <c r="AS103" i="3"/>
  <c r="AQ103" i="3"/>
  <c r="AP103" i="3"/>
  <c r="X103" i="3"/>
  <c r="W103" i="3"/>
  <c r="C103" i="3"/>
  <c r="CI102" i="3"/>
  <c r="AV102" i="3"/>
  <c r="AU102" i="3"/>
  <c r="AT102" i="3"/>
  <c r="AS102" i="3"/>
  <c r="AR102" i="3"/>
  <c r="AQ102" i="3"/>
  <c r="AP102" i="3"/>
  <c r="X102" i="3"/>
  <c r="W102" i="3"/>
  <c r="C102" i="3"/>
  <c r="AT101" i="3"/>
  <c r="AS101" i="3"/>
  <c r="AQ101" i="3"/>
  <c r="AP101" i="3"/>
  <c r="X101" i="3"/>
  <c r="W101" i="3"/>
  <c r="C101" i="3"/>
  <c r="CI100" i="3"/>
  <c r="AV100" i="3"/>
  <c r="AU100" i="3"/>
  <c r="AT100" i="3"/>
  <c r="AS100" i="3"/>
  <c r="AR100" i="3"/>
  <c r="AQ100" i="3"/>
  <c r="AP100" i="3"/>
  <c r="X100" i="3"/>
  <c r="W100" i="3"/>
  <c r="C100" i="3"/>
  <c r="CI99" i="3"/>
  <c r="BG99" i="3"/>
  <c r="AV99" i="3"/>
  <c r="AU99" i="3"/>
  <c r="AT99" i="3"/>
  <c r="AS99" i="3"/>
  <c r="AR99" i="3"/>
  <c r="AQ99" i="3"/>
  <c r="AP99" i="3"/>
  <c r="X99" i="3"/>
  <c r="W99" i="3"/>
  <c r="C99" i="3"/>
  <c r="CI98" i="3"/>
  <c r="BG98" i="3"/>
  <c r="AV98" i="3"/>
  <c r="AU98" i="3"/>
  <c r="AT98" i="3"/>
  <c r="AS98" i="3"/>
  <c r="AR98" i="3"/>
  <c r="AQ98" i="3"/>
  <c r="AP98" i="3"/>
  <c r="X98" i="3"/>
  <c r="W98" i="3"/>
  <c r="C98" i="3"/>
  <c r="AT97" i="3"/>
  <c r="AS97" i="3"/>
  <c r="AQ97" i="3"/>
  <c r="AP97" i="3"/>
  <c r="X97" i="3"/>
  <c r="W97" i="3"/>
  <c r="C97" i="3"/>
  <c r="CI96" i="3"/>
  <c r="BG96" i="3"/>
  <c r="AV96" i="3"/>
  <c r="AU96" i="3"/>
  <c r="AT96" i="3"/>
  <c r="AS96" i="3"/>
  <c r="AR96" i="3"/>
  <c r="AQ96" i="3"/>
  <c r="AP96" i="3"/>
  <c r="X96" i="3"/>
  <c r="W96" i="3"/>
  <c r="C96" i="3"/>
  <c r="AT95" i="3"/>
  <c r="AS95" i="3"/>
  <c r="AQ95" i="3"/>
  <c r="AP95" i="3"/>
  <c r="X95" i="3"/>
  <c r="W95" i="3"/>
  <c r="C95" i="3"/>
  <c r="AT94" i="3"/>
  <c r="AS94" i="3"/>
  <c r="AQ94" i="3"/>
  <c r="AP94" i="3"/>
  <c r="X94" i="3"/>
  <c r="W94" i="3"/>
  <c r="C94" i="3"/>
  <c r="AT93" i="3"/>
  <c r="AS93" i="3"/>
  <c r="AQ93" i="3"/>
  <c r="AP93" i="3"/>
  <c r="X93" i="3"/>
  <c r="W93" i="3"/>
  <c r="C93" i="3"/>
  <c r="AV92" i="3"/>
  <c r="AU92" i="3"/>
  <c r="AT92" i="3"/>
  <c r="AS92" i="3"/>
  <c r="AQ92" i="3"/>
  <c r="AP92" i="3"/>
  <c r="X92" i="3"/>
  <c r="W92" i="3"/>
  <c r="C92" i="3"/>
  <c r="AV91" i="3"/>
  <c r="AU91" i="3"/>
  <c r="AT91" i="3"/>
  <c r="AS91" i="3"/>
  <c r="AR91" i="3"/>
  <c r="AQ91" i="3"/>
  <c r="AP91" i="3"/>
  <c r="X91" i="3"/>
  <c r="W91" i="3"/>
  <c r="C91" i="3"/>
  <c r="CI90" i="3"/>
  <c r="BG90" i="3"/>
  <c r="AV90" i="3"/>
  <c r="AU90" i="3"/>
  <c r="AT90" i="3"/>
  <c r="AS90" i="3"/>
  <c r="AR90" i="3"/>
  <c r="AQ90" i="3"/>
  <c r="AP90" i="3"/>
  <c r="X90" i="3"/>
  <c r="W90" i="3"/>
  <c r="C90" i="3"/>
  <c r="CI89" i="3"/>
  <c r="AV89" i="3"/>
  <c r="AU89" i="3"/>
  <c r="AT89" i="3"/>
  <c r="AS89" i="3"/>
  <c r="AR89" i="3"/>
  <c r="AQ89" i="3"/>
  <c r="AP89" i="3"/>
  <c r="X89" i="3"/>
  <c r="W89" i="3"/>
  <c r="C89" i="3"/>
  <c r="AT88" i="3"/>
  <c r="AS88" i="3"/>
  <c r="AQ88" i="3"/>
  <c r="AP88" i="3"/>
  <c r="X88" i="3"/>
  <c r="W88" i="3"/>
  <c r="C88" i="3"/>
  <c r="CI87" i="3"/>
  <c r="BG87" i="3"/>
  <c r="AV87" i="3"/>
  <c r="AU87" i="3"/>
  <c r="AT87" i="3"/>
  <c r="AS87" i="3"/>
  <c r="AR87" i="3"/>
  <c r="AQ87" i="3"/>
  <c r="AP87" i="3"/>
  <c r="X87" i="3"/>
  <c r="W87" i="3"/>
  <c r="C87" i="3"/>
  <c r="CI86" i="3"/>
  <c r="BG86" i="3"/>
  <c r="AV86" i="3"/>
  <c r="AU86" i="3"/>
  <c r="AT86" i="3"/>
  <c r="AS86" i="3"/>
  <c r="AR86" i="3"/>
  <c r="AQ86" i="3"/>
  <c r="AP86" i="3"/>
  <c r="X86" i="3"/>
  <c r="W86" i="3"/>
  <c r="C86" i="3"/>
  <c r="CI85" i="3"/>
  <c r="BG85" i="3"/>
  <c r="AV85" i="3"/>
  <c r="AU85" i="3"/>
  <c r="AT85" i="3"/>
  <c r="AS85" i="3"/>
  <c r="AR85" i="3"/>
  <c r="AQ85" i="3"/>
  <c r="AP85" i="3"/>
  <c r="X85" i="3"/>
  <c r="W85" i="3"/>
  <c r="C85" i="3"/>
  <c r="CI84" i="3"/>
  <c r="AV84" i="3"/>
  <c r="AU84" i="3"/>
  <c r="AT84" i="3"/>
  <c r="AS84" i="3"/>
  <c r="AR84" i="3"/>
  <c r="AQ84" i="3"/>
  <c r="AP84" i="3"/>
  <c r="X84" i="3"/>
  <c r="W84" i="3"/>
  <c r="C84" i="3"/>
  <c r="CI83" i="3"/>
  <c r="BG83" i="3"/>
  <c r="AV83" i="3"/>
  <c r="AU83" i="3"/>
  <c r="AT83" i="3"/>
  <c r="AS83" i="3"/>
  <c r="AR83" i="3"/>
  <c r="AQ83" i="3"/>
  <c r="AP83" i="3"/>
  <c r="X83" i="3"/>
  <c r="W83" i="3"/>
  <c r="C83" i="3"/>
  <c r="AV82" i="3"/>
  <c r="AU82" i="3"/>
  <c r="AT82" i="3"/>
  <c r="AS82" i="3"/>
  <c r="AR82" i="3"/>
  <c r="AQ82" i="3"/>
  <c r="AP82" i="3"/>
  <c r="X82" i="3"/>
  <c r="W82" i="3"/>
  <c r="C82" i="3"/>
  <c r="CI81" i="3"/>
  <c r="BG81" i="3"/>
  <c r="AV81" i="3"/>
  <c r="AU81" i="3"/>
  <c r="AT81" i="3"/>
  <c r="AS81" i="3"/>
  <c r="AR81" i="3"/>
  <c r="AQ81" i="3"/>
  <c r="AP81" i="3"/>
  <c r="X81" i="3"/>
  <c r="W81" i="3"/>
  <c r="C81" i="3"/>
  <c r="CI80" i="3"/>
  <c r="BG80" i="3"/>
  <c r="AV80" i="3"/>
  <c r="AU80" i="3"/>
  <c r="AT80" i="3"/>
  <c r="AS80" i="3"/>
  <c r="AR80" i="3"/>
  <c r="AQ80" i="3"/>
  <c r="AP80" i="3"/>
  <c r="X80" i="3"/>
  <c r="W80" i="3"/>
  <c r="C80" i="3"/>
  <c r="CI79" i="3"/>
  <c r="BG79" i="3"/>
  <c r="AV79" i="3"/>
  <c r="AU79" i="3"/>
  <c r="AT79" i="3"/>
  <c r="AS79" i="3"/>
  <c r="AR79" i="3"/>
  <c r="AQ79" i="3"/>
  <c r="AP79" i="3"/>
  <c r="X79" i="3"/>
  <c r="W79" i="3"/>
  <c r="C79" i="3"/>
  <c r="CI78" i="3"/>
  <c r="BG78" i="3"/>
  <c r="AV78" i="3"/>
  <c r="AU78" i="3"/>
  <c r="AT78" i="3"/>
  <c r="AS78" i="3"/>
  <c r="AR78" i="3"/>
  <c r="AQ78" i="3"/>
  <c r="AP78" i="3"/>
  <c r="X78" i="3"/>
  <c r="W78" i="3"/>
  <c r="C78" i="3"/>
  <c r="CI77" i="3"/>
  <c r="BG77" i="3"/>
  <c r="AV77" i="3"/>
  <c r="AU77" i="3"/>
  <c r="AT77" i="3"/>
  <c r="AS77" i="3"/>
  <c r="AR77" i="3"/>
  <c r="AQ77" i="3"/>
  <c r="AP77" i="3"/>
  <c r="X77" i="3"/>
  <c r="W77" i="3"/>
  <c r="C77" i="3"/>
  <c r="AT76" i="3"/>
  <c r="AS76" i="3"/>
  <c r="AQ76" i="3"/>
  <c r="AP76" i="3"/>
  <c r="X76" i="3"/>
  <c r="W76" i="3"/>
  <c r="C76" i="3"/>
  <c r="AT75" i="3"/>
  <c r="AS75" i="3"/>
  <c r="AQ75" i="3"/>
  <c r="AP75" i="3"/>
  <c r="X75" i="3"/>
  <c r="W75" i="3"/>
  <c r="C75" i="3"/>
  <c r="CI74" i="3"/>
  <c r="BG74" i="3"/>
  <c r="AV74" i="3"/>
  <c r="AU74" i="3"/>
  <c r="AT74" i="3"/>
  <c r="AS74" i="3"/>
  <c r="AR74" i="3"/>
  <c r="AQ74" i="3"/>
  <c r="AP74" i="3"/>
  <c r="X74" i="3"/>
  <c r="W74" i="3"/>
  <c r="C74" i="3"/>
  <c r="AT73" i="3"/>
  <c r="AS73" i="3"/>
  <c r="AQ73" i="3"/>
  <c r="AP73" i="3"/>
  <c r="X73" i="3"/>
  <c r="W73" i="3"/>
  <c r="C73" i="3"/>
  <c r="AT72" i="3"/>
  <c r="AS72" i="3"/>
  <c r="AQ72" i="3"/>
  <c r="AP72" i="3"/>
  <c r="X72" i="3"/>
  <c r="W72" i="3"/>
  <c r="C72" i="3"/>
  <c r="AT71" i="3"/>
  <c r="AS71" i="3"/>
  <c r="AQ71" i="3"/>
  <c r="AP71" i="3"/>
  <c r="X71" i="3"/>
  <c r="W71" i="3"/>
  <c r="C71" i="3"/>
  <c r="AT70" i="3"/>
  <c r="AS70" i="3"/>
  <c r="AQ70" i="3"/>
  <c r="AP70" i="3"/>
  <c r="X70" i="3"/>
  <c r="W70" i="3"/>
  <c r="C70" i="3"/>
  <c r="CI69" i="3"/>
  <c r="BG69" i="3"/>
  <c r="AV69" i="3"/>
  <c r="AU69" i="3"/>
  <c r="AT69" i="3"/>
  <c r="AS69" i="3"/>
  <c r="AR69" i="3"/>
  <c r="AQ69" i="3"/>
  <c r="AP69" i="3"/>
  <c r="X69" i="3"/>
  <c r="W69" i="3"/>
  <c r="C69" i="3"/>
  <c r="CI68" i="3"/>
  <c r="BG68" i="3"/>
  <c r="AV68" i="3"/>
  <c r="AU68" i="3"/>
  <c r="AT68" i="3"/>
  <c r="AS68" i="3"/>
  <c r="AR68" i="3"/>
  <c r="AQ68" i="3"/>
  <c r="AP68" i="3"/>
  <c r="X68" i="3"/>
  <c r="W68" i="3"/>
  <c r="C68" i="3"/>
  <c r="CI67" i="3"/>
  <c r="BG67" i="3"/>
  <c r="AV67" i="3"/>
  <c r="AU67" i="3"/>
  <c r="AT67" i="3"/>
  <c r="AS67" i="3"/>
  <c r="AR67" i="3"/>
  <c r="AQ67" i="3"/>
  <c r="AP67" i="3"/>
  <c r="X67" i="3"/>
  <c r="W67" i="3"/>
  <c r="C67" i="3"/>
  <c r="CI66" i="3"/>
  <c r="BG66" i="3"/>
  <c r="AV66" i="3"/>
  <c r="AU66" i="3"/>
  <c r="AT66" i="3"/>
  <c r="AS66" i="3"/>
  <c r="AR66" i="3"/>
  <c r="AQ66" i="3"/>
  <c r="AP66" i="3"/>
  <c r="X66" i="3"/>
  <c r="W66" i="3"/>
  <c r="C66" i="3"/>
  <c r="CI65" i="3"/>
  <c r="BG65" i="3"/>
  <c r="AV65" i="3"/>
  <c r="AU65" i="3"/>
  <c r="AT65" i="3"/>
  <c r="AS65" i="3"/>
  <c r="AR65" i="3"/>
  <c r="AQ65" i="3"/>
  <c r="AP65" i="3"/>
  <c r="X65" i="3"/>
  <c r="W65" i="3"/>
  <c r="C65" i="3"/>
  <c r="CI64" i="3"/>
  <c r="AV64" i="3"/>
  <c r="AU64" i="3"/>
  <c r="AT64" i="3"/>
  <c r="AS64" i="3"/>
  <c r="AQ64" i="3"/>
  <c r="AP64" i="3"/>
  <c r="X64" i="3"/>
  <c r="W64" i="3"/>
  <c r="C64" i="3"/>
  <c r="AT63" i="3"/>
  <c r="AS63" i="3"/>
  <c r="AQ63" i="3"/>
  <c r="AP63" i="3"/>
  <c r="X63" i="3"/>
  <c r="W63" i="3"/>
  <c r="C63" i="3"/>
  <c r="AT62" i="3"/>
  <c r="AS62" i="3"/>
  <c r="AQ62" i="3"/>
  <c r="AP62" i="3"/>
  <c r="X62" i="3"/>
  <c r="W62" i="3"/>
  <c r="C62" i="3"/>
  <c r="CI61" i="3"/>
  <c r="BG61" i="3"/>
  <c r="AV61" i="3"/>
  <c r="AU61" i="3"/>
  <c r="AT61" i="3"/>
  <c r="AS61" i="3"/>
  <c r="AR61" i="3"/>
  <c r="AQ61" i="3"/>
  <c r="AP61" i="3"/>
  <c r="X61" i="3"/>
  <c r="W61" i="3"/>
  <c r="C61" i="3"/>
  <c r="AV60" i="3"/>
  <c r="AU60" i="3"/>
  <c r="AT60" i="3"/>
  <c r="AS60" i="3"/>
  <c r="AR60" i="3"/>
  <c r="AQ60" i="3"/>
  <c r="AP60" i="3"/>
  <c r="X60" i="3"/>
  <c r="W60" i="3"/>
  <c r="C60" i="3"/>
  <c r="CI59" i="3"/>
  <c r="BG59" i="3"/>
  <c r="AV59" i="3"/>
  <c r="AU59" i="3"/>
  <c r="AT59" i="3"/>
  <c r="AS59" i="3"/>
  <c r="AR59" i="3"/>
  <c r="AQ59" i="3"/>
  <c r="AP59" i="3"/>
  <c r="X59" i="3"/>
  <c r="W59" i="3"/>
  <c r="C59" i="3"/>
  <c r="CI58" i="3"/>
  <c r="BG58" i="3"/>
  <c r="AV58" i="3"/>
  <c r="AU58" i="3"/>
  <c r="AT58" i="3"/>
  <c r="AS58" i="3"/>
  <c r="AR58" i="3"/>
  <c r="AQ58" i="3"/>
  <c r="AP58" i="3"/>
  <c r="X58" i="3"/>
  <c r="W58" i="3"/>
  <c r="C58" i="3"/>
  <c r="CI57" i="3"/>
  <c r="BG57" i="3"/>
  <c r="AV57" i="3"/>
  <c r="AU57" i="3"/>
  <c r="AT57" i="3"/>
  <c r="AS57" i="3"/>
  <c r="AR57" i="3"/>
  <c r="AQ57" i="3"/>
  <c r="AP57" i="3"/>
  <c r="X57" i="3"/>
  <c r="W57" i="3"/>
  <c r="C57" i="3"/>
  <c r="CI56" i="3"/>
  <c r="BG56" i="3"/>
  <c r="AV56" i="3"/>
  <c r="AU56" i="3"/>
  <c r="AT56" i="3"/>
  <c r="AS56" i="3"/>
  <c r="AR56" i="3"/>
  <c r="AQ56" i="3"/>
  <c r="AP56" i="3"/>
  <c r="X56" i="3"/>
  <c r="W56" i="3"/>
  <c r="C56" i="3"/>
  <c r="CI55" i="3"/>
  <c r="BG55" i="3"/>
  <c r="AV55" i="3"/>
  <c r="AU55" i="3"/>
  <c r="AT55" i="3"/>
  <c r="AS55" i="3"/>
  <c r="AR55" i="3"/>
  <c r="AQ55" i="3"/>
  <c r="AP55" i="3"/>
  <c r="X55" i="3"/>
  <c r="W55" i="3"/>
  <c r="C55" i="3"/>
  <c r="CI54" i="3"/>
  <c r="BG54" i="3"/>
  <c r="AV54" i="3"/>
  <c r="AU54" i="3"/>
  <c r="AT54" i="3"/>
  <c r="AS54" i="3"/>
  <c r="AR54" i="3"/>
  <c r="AQ54" i="3"/>
  <c r="AP54" i="3"/>
  <c r="X54" i="3"/>
  <c r="W54" i="3"/>
  <c r="C54" i="3"/>
  <c r="CI53" i="3"/>
  <c r="BG53" i="3"/>
  <c r="AV53" i="3"/>
  <c r="AU53" i="3"/>
  <c r="AT53" i="3"/>
  <c r="AS53" i="3"/>
  <c r="AR53" i="3"/>
  <c r="AQ53" i="3"/>
  <c r="AP53" i="3"/>
  <c r="X53" i="3"/>
  <c r="W53" i="3"/>
  <c r="C53" i="3"/>
  <c r="AT52" i="3"/>
  <c r="AS52" i="3"/>
  <c r="AQ52" i="3"/>
  <c r="AP52" i="3"/>
  <c r="X52" i="3"/>
  <c r="W52" i="3"/>
  <c r="C52" i="3"/>
  <c r="CI51" i="3"/>
  <c r="AV51" i="3"/>
  <c r="AU51" i="3"/>
  <c r="AT51" i="3"/>
  <c r="AS51" i="3"/>
  <c r="AR51" i="3"/>
  <c r="AQ51" i="3"/>
  <c r="AP51" i="3"/>
  <c r="X51" i="3"/>
  <c r="W51" i="3"/>
  <c r="C51" i="3"/>
  <c r="CI50" i="3"/>
  <c r="BG50" i="3"/>
  <c r="AV50" i="3"/>
  <c r="AU50" i="3"/>
  <c r="AT50" i="3"/>
  <c r="AS50" i="3"/>
  <c r="AR50" i="3"/>
  <c r="AQ50" i="3"/>
  <c r="AP50" i="3"/>
  <c r="X50" i="3"/>
  <c r="W50" i="3"/>
  <c r="C50" i="3"/>
  <c r="CI49" i="3"/>
  <c r="BG49" i="3"/>
  <c r="AV49" i="3"/>
  <c r="AU49" i="3"/>
  <c r="AT49" i="3"/>
  <c r="AS49" i="3"/>
  <c r="AR49" i="3"/>
  <c r="AQ49" i="3"/>
  <c r="AP49" i="3"/>
  <c r="X49" i="3"/>
  <c r="W49" i="3"/>
  <c r="C49" i="3"/>
  <c r="CI48" i="3"/>
  <c r="BG48" i="3"/>
  <c r="AV48" i="3"/>
  <c r="AU48" i="3"/>
  <c r="AT48" i="3"/>
  <c r="AS48" i="3"/>
  <c r="AR48" i="3"/>
  <c r="AQ48" i="3"/>
  <c r="AP48" i="3"/>
  <c r="X48" i="3"/>
  <c r="W48" i="3"/>
  <c r="C48" i="3"/>
  <c r="CI47" i="3"/>
  <c r="AV47" i="3"/>
  <c r="AU47" i="3"/>
  <c r="AT47" i="3"/>
  <c r="AS47" i="3"/>
  <c r="AR47" i="3"/>
  <c r="AQ47" i="3"/>
  <c r="AP47" i="3"/>
  <c r="X47" i="3"/>
  <c r="W47" i="3"/>
  <c r="C47" i="3"/>
  <c r="CI46" i="3"/>
  <c r="BG46" i="3"/>
  <c r="AV46" i="3"/>
  <c r="AU46" i="3"/>
  <c r="AT46" i="3"/>
  <c r="AS46" i="3"/>
  <c r="AR46" i="3"/>
  <c r="AQ46" i="3"/>
  <c r="AP46" i="3"/>
  <c r="X46" i="3"/>
  <c r="W46" i="3"/>
  <c r="C46" i="3"/>
  <c r="CI45" i="3"/>
  <c r="BG45" i="3"/>
  <c r="AV45" i="3"/>
  <c r="AU45" i="3"/>
  <c r="AT45" i="3"/>
  <c r="AS45" i="3"/>
  <c r="AR45" i="3"/>
  <c r="AQ45" i="3"/>
  <c r="AP45" i="3"/>
  <c r="X45" i="3"/>
  <c r="W45" i="3"/>
  <c r="C45" i="3"/>
  <c r="CI44" i="3"/>
  <c r="BG44" i="3"/>
  <c r="AV44" i="3"/>
  <c r="AU44" i="3"/>
  <c r="AT44" i="3"/>
  <c r="AS44" i="3"/>
  <c r="AR44" i="3"/>
  <c r="AQ44" i="3"/>
  <c r="AP44" i="3"/>
  <c r="X44" i="3"/>
  <c r="W44" i="3"/>
  <c r="C44" i="3"/>
  <c r="CI43" i="3"/>
  <c r="BG43" i="3"/>
  <c r="AV43" i="3"/>
  <c r="AU43" i="3"/>
  <c r="AT43" i="3"/>
  <c r="AS43" i="3"/>
  <c r="AR43" i="3"/>
  <c r="AQ43" i="3"/>
  <c r="AP43" i="3"/>
  <c r="X43" i="3"/>
  <c r="W43" i="3"/>
  <c r="C43" i="3"/>
  <c r="CI42" i="3"/>
  <c r="BG42" i="3"/>
  <c r="AV42" i="3"/>
  <c r="AU42" i="3"/>
  <c r="AT42" i="3"/>
  <c r="AS42" i="3"/>
  <c r="AR42" i="3"/>
  <c r="AQ42" i="3"/>
  <c r="AP42" i="3"/>
  <c r="X42" i="3"/>
  <c r="W42" i="3"/>
  <c r="C42" i="3"/>
  <c r="CI41" i="3"/>
  <c r="BG41" i="3"/>
  <c r="AV41" i="3"/>
  <c r="AU41" i="3"/>
  <c r="AT41" i="3"/>
  <c r="AS41" i="3"/>
  <c r="AR41" i="3"/>
  <c r="AQ41" i="3"/>
  <c r="AP41" i="3"/>
  <c r="X41" i="3"/>
  <c r="W41" i="3"/>
  <c r="C41" i="3"/>
  <c r="AT40" i="3"/>
  <c r="AS40" i="3"/>
  <c r="AQ40" i="3"/>
  <c r="AP40" i="3"/>
  <c r="X40" i="3"/>
  <c r="W40" i="3"/>
  <c r="C40" i="3"/>
  <c r="CI39" i="3"/>
  <c r="BG39" i="3"/>
  <c r="AV39" i="3"/>
  <c r="AU39" i="3"/>
  <c r="AT39" i="3"/>
  <c r="AS39" i="3"/>
  <c r="AR39" i="3"/>
  <c r="AQ39" i="3"/>
  <c r="AP39" i="3"/>
  <c r="X39" i="3"/>
  <c r="W39" i="3"/>
  <c r="C39" i="3"/>
  <c r="CI38" i="3"/>
  <c r="BG38" i="3"/>
  <c r="AV38" i="3"/>
  <c r="AU38" i="3"/>
  <c r="AT38" i="3"/>
  <c r="AS38" i="3"/>
  <c r="AR38" i="3"/>
  <c r="AQ38" i="3"/>
  <c r="AP38" i="3"/>
  <c r="X38" i="3"/>
  <c r="W38" i="3"/>
  <c r="C38" i="3"/>
  <c r="CI37" i="3"/>
  <c r="AV37" i="3"/>
  <c r="AU37" i="3"/>
  <c r="AT37" i="3"/>
  <c r="AS37" i="3"/>
  <c r="AR37" i="3"/>
  <c r="AQ37" i="3"/>
  <c r="AP37" i="3"/>
  <c r="X37" i="3"/>
  <c r="W37" i="3"/>
  <c r="C37" i="3"/>
  <c r="AT36" i="3"/>
  <c r="AS36" i="3"/>
  <c r="AQ36" i="3"/>
  <c r="AP36" i="3"/>
  <c r="X36" i="3"/>
  <c r="W36" i="3"/>
  <c r="C36" i="3"/>
  <c r="AT35" i="3"/>
  <c r="AS35" i="3"/>
  <c r="AQ35" i="3"/>
  <c r="AP35" i="3"/>
  <c r="X35" i="3"/>
  <c r="W35" i="3"/>
  <c r="C35" i="3"/>
  <c r="CI34" i="3"/>
  <c r="BG34" i="3"/>
  <c r="AV34" i="3"/>
  <c r="AU34" i="3"/>
  <c r="AT34" i="3"/>
  <c r="AS34" i="3"/>
  <c r="AR34" i="3"/>
  <c r="AQ34" i="3"/>
  <c r="AP34" i="3"/>
  <c r="X34" i="3"/>
  <c r="W34" i="3"/>
  <c r="C34" i="3"/>
  <c r="CI33" i="3"/>
  <c r="BG33" i="3"/>
  <c r="AV33" i="3"/>
  <c r="AU33" i="3"/>
  <c r="AT33" i="3"/>
  <c r="AS33" i="3"/>
  <c r="AR33" i="3"/>
  <c r="AQ33" i="3"/>
  <c r="AP33" i="3"/>
  <c r="X33" i="3"/>
  <c r="W33" i="3"/>
  <c r="C33" i="3"/>
  <c r="CI32" i="3"/>
  <c r="BG32" i="3"/>
  <c r="AV32" i="3"/>
  <c r="AU32" i="3"/>
  <c r="AT32" i="3"/>
  <c r="AS32" i="3"/>
  <c r="AR32" i="3"/>
  <c r="AQ32" i="3"/>
  <c r="AP32" i="3"/>
  <c r="X32" i="3"/>
  <c r="W32" i="3"/>
  <c r="C32" i="3"/>
  <c r="CI31" i="3"/>
  <c r="BG31" i="3"/>
  <c r="AV31" i="3"/>
  <c r="AU31" i="3"/>
  <c r="AT31" i="3"/>
  <c r="AS31" i="3"/>
  <c r="AR31" i="3"/>
  <c r="AQ31" i="3"/>
  <c r="AP31" i="3"/>
  <c r="X31" i="3"/>
  <c r="W31" i="3"/>
  <c r="C31" i="3"/>
  <c r="AT30" i="3"/>
  <c r="AS30" i="3"/>
  <c r="AQ30" i="3"/>
  <c r="AP30" i="3"/>
  <c r="X30" i="3"/>
  <c r="W30" i="3"/>
  <c r="C30" i="3"/>
  <c r="AT29" i="3"/>
  <c r="AS29" i="3"/>
  <c r="AQ29" i="3"/>
  <c r="AP29" i="3"/>
  <c r="X29" i="3"/>
  <c r="W29" i="3"/>
  <c r="C29" i="3"/>
  <c r="CI28" i="3"/>
  <c r="BG28" i="3"/>
  <c r="AV28" i="3"/>
  <c r="AU28" i="3"/>
  <c r="AT28" i="3"/>
  <c r="AS28" i="3"/>
  <c r="AR28" i="3"/>
  <c r="AQ28" i="3"/>
  <c r="AP28" i="3"/>
  <c r="X28" i="3"/>
  <c r="W28" i="3"/>
  <c r="C28" i="3"/>
  <c r="CI27" i="3"/>
  <c r="BG27" i="3"/>
  <c r="AV27" i="3"/>
  <c r="AU27" i="3"/>
  <c r="AT27" i="3"/>
  <c r="AS27" i="3"/>
  <c r="AR27" i="3"/>
  <c r="AQ27" i="3"/>
  <c r="AP27" i="3"/>
  <c r="X27" i="3"/>
  <c r="W27" i="3"/>
  <c r="C27" i="3"/>
  <c r="CI26" i="3"/>
  <c r="BG26" i="3"/>
  <c r="AV26" i="3"/>
  <c r="AU26" i="3"/>
  <c r="AT26" i="3"/>
  <c r="AS26" i="3"/>
  <c r="AR26" i="3"/>
  <c r="AQ26" i="3"/>
  <c r="AP26" i="3"/>
  <c r="X26" i="3"/>
  <c r="W26" i="3"/>
  <c r="C26" i="3"/>
  <c r="CI25" i="3"/>
  <c r="BG25" i="3"/>
  <c r="AV25" i="3"/>
  <c r="AU25" i="3"/>
  <c r="AT25" i="3"/>
  <c r="AS25" i="3"/>
  <c r="AR25" i="3"/>
  <c r="AQ25" i="3"/>
  <c r="AP25" i="3"/>
  <c r="X25" i="3"/>
  <c r="W25" i="3"/>
  <c r="C25" i="3"/>
  <c r="CI24" i="3"/>
  <c r="BG24" i="3"/>
  <c r="AV24" i="3"/>
  <c r="AU24" i="3"/>
  <c r="AT24" i="3"/>
  <c r="AS24" i="3"/>
  <c r="AR24" i="3"/>
  <c r="AQ24" i="3"/>
  <c r="AP24" i="3"/>
  <c r="X24" i="3"/>
  <c r="W24" i="3"/>
  <c r="C24" i="3"/>
  <c r="CI23" i="3"/>
  <c r="BG23" i="3"/>
  <c r="AV23" i="3"/>
  <c r="AU23" i="3"/>
  <c r="AT23" i="3"/>
  <c r="AS23" i="3"/>
  <c r="AR23" i="3"/>
  <c r="AQ23" i="3"/>
  <c r="AP23" i="3"/>
  <c r="X23" i="3"/>
  <c r="W23" i="3"/>
  <c r="C23" i="3"/>
  <c r="CI22" i="3"/>
  <c r="BG22" i="3"/>
  <c r="AV22" i="3"/>
  <c r="AU22" i="3"/>
  <c r="AT22" i="3"/>
  <c r="AS22" i="3"/>
  <c r="AR22" i="3"/>
  <c r="AQ22" i="3"/>
  <c r="AP22" i="3"/>
  <c r="X22" i="3"/>
  <c r="W22" i="3"/>
  <c r="V22" i="3"/>
  <c r="U22" i="3"/>
  <c r="C22" i="3"/>
  <c r="CI21" i="3"/>
  <c r="BG21" i="3"/>
  <c r="AV21" i="3"/>
  <c r="AU21" i="3"/>
  <c r="AT21" i="3"/>
  <c r="AS21" i="3"/>
  <c r="AR21" i="3"/>
  <c r="AQ21" i="3"/>
  <c r="AP21" i="3"/>
  <c r="X21" i="3"/>
  <c r="W21" i="3"/>
  <c r="C21" i="3"/>
  <c r="CI20" i="3"/>
  <c r="BG20" i="3"/>
  <c r="AV20" i="3"/>
  <c r="AU20" i="3"/>
  <c r="AT20" i="3"/>
  <c r="AS20" i="3"/>
  <c r="AR20" i="3"/>
  <c r="AQ20" i="3"/>
  <c r="AP20" i="3"/>
  <c r="X20" i="3"/>
  <c r="W20" i="3"/>
  <c r="C20" i="3"/>
  <c r="CI19" i="3"/>
  <c r="BG19" i="3"/>
  <c r="AV19" i="3"/>
  <c r="AU19" i="3"/>
  <c r="AT19" i="3"/>
  <c r="AS19" i="3"/>
  <c r="AR19" i="3"/>
  <c r="AQ19" i="3"/>
  <c r="AP19" i="3"/>
  <c r="X19" i="3"/>
  <c r="W19" i="3"/>
  <c r="C19" i="3"/>
  <c r="CI18" i="3"/>
  <c r="BG18" i="3"/>
  <c r="AV18" i="3"/>
  <c r="AU18" i="3"/>
  <c r="AT18" i="3"/>
  <c r="AS18" i="3"/>
  <c r="AR18" i="3"/>
  <c r="AQ18" i="3"/>
  <c r="AP18" i="3"/>
  <c r="X18" i="3"/>
  <c r="W18" i="3"/>
  <c r="C18" i="3"/>
  <c r="CI17" i="3"/>
  <c r="BG17" i="3"/>
  <c r="AV17" i="3"/>
  <c r="AU17" i="3"/>
  <c r="AT17" i="3"/>
  <c r="AS17" i="3"/>
  <c r="AR17" i="3"/>
  <c r="AQ17" i="3"/>
  <c r="AP17" i="3"/>
  <c r="X17" i="3"/>
  <c r="W17" i="3"/>
  <c r="C17" i="3"/>
  <c r="CI16" i="3"/>
  <c r="BG16" i="3"/>
  <c r="AV16" i="3"/>
  <c r="AU16" i="3"/>
  <c r="AT16" i="3"/>
  <c r="AS16" i="3"/>
  <c r="AR16" i="3"/>
  <c r="AQ16" i="3"/>
  <c r="AP16" i="3"/>
  <c r="X16" i="3"/>
  <c r="W16" i="3"/>
  <c r="C16" i="3"/>
  <c r="CI15" i="3"/>
  <c r="BG15" i="3"/>
  <c r="AV15" i="3"/>
  <c r="AU15" i="3"/>
  <c r="AT15" i="3"/>
  <c r="AS15" i="3"/>
  <c r="AR15" i="3"/>
  <c r="AQ15" i="3"/>
  <c r="AP15" i="3"/>
  <c r="X15" i="3"/>
  <c r="W15" i="3"/>
  <c r="C15" i="3"/>
  <c r="CI14" i="3"/>
  <c r="BG14" i="3"/>
  <c r="AV14" i="3"/>
  <c r="AU14" i="3"/>
  <c r="AT14" i="3"/>
  <c r="AS14" i="3"/>
  <c r="AR14" i="3"/>
  <c r="AQ14" i="3"/>
  <c r="AP14" i="3"/>
  <c r="X14" i="3"/>
  <c r="W14" i="3"/>
  <c r="C14" i="3"/>
  <c r="CI13" i="3"/>
  <c r="BG13" i="3"/>
  <c r="AV13" i="3"/>
  <c r="AU13" i="3"/>
  <c r="AT13" i="3"/>
  <c r="AS13" i="3"/>
  <c r="AR13" i="3"/>
  <c r="AQ13" i="3"/>
  <c r="AP13" i="3"/>
  <c r="X13" i="3"/>
  <c r="W13" i="3"/>
  <c r="C13" i="3"/>
  <c r="CI12" i="3"/>
  <c r="BG12" i="3"/>
  <c r="AV12" i="3"/>
  <c r="AU12" i="3"/>
  <c r="AT12" i="3"/>
  <c r="AS12" i="3"/>
  <c r="AR12" i="3"/>
  <c r="AQ12" i="3"/>
  <c r="AP12" i="3"/>
  <c r="X12" i="3"/>
  <c r="W12" i="3"/>
  <c r="C12" i="3"/>
  <c r="CI11" i="3"/>
  <c r="AV11" i="3"/>
  <c r="AU11" i="3"/>
  <c r="AT11" i="3"/>
  <c r="AS11" i="3"/>
  <c r="AR11" i="3"/>
  <c r="AQ11" i="3"/>
  <c r="AP11" i="3"/>
  <c r="X11" i="3"/>
  <c r="W11" i="3"/>
  <c r="C11" i="3"/>
  <c r="CI10" i="3"/>
  <c r="BG10" i="3"/>
  <c r="AV10" i="3"/>
  <c r="AU10" i="3"/>
  <c r="AT10" i="3"/>
  <c r="AS10" i="3"/>
  <c r="AR10" i="3"/>
  <c r="AQ10" i="3"/>
  <c r="AP10" i="3"/>
  <c r="X10" i="3"/>
  <c r="W10" i="3"/>
  <c r="C10" i="3"/>
  <c r="CI9" i="3"/>
  <c r="BG9" i="3"/>
  <c r="AV9" i="3"/>
  <c r="AU9" i="3"/>
  <c r="AT9" i="3"/>
  <c r="AS9" i="3"/>
  <c r="AR9" i="3"/>
  <c r="AQ9" i="3"/>
  <c r="AP9" i="3"/>
  <c r="X9" i="3"/>
  <c r="W9" i="3"/>
  <c r="C9" i="3"/>
  <c r="CI8" i="3"/>
  <c r="BG8" i="3"/>
  <c r="AV8" i="3"/>
  <c r="AU8" i="3"/>
  <c r="AT8" i="3"/>
  <c r="AS8" i="3"/>
  <c r="AR8" i="3"/>
  <c r="AQ8" i="3"/>
  <c r="AP8" i="3"/>
  <c r="X8" i="3"/>
  <c r="W8" i="3"/>
  <c r="C8" i="3"/>
  <c r="CI7" i="3"/>
  <c r="BG7" i="3"/>
  <c r="AV7" i="3"/>
  <c r="AU7" i="3"/>
  <c r="AT7" i="3"/>
  <c r="AS7" i="3"/>
  <c r="AR7" i="3"/>
  <c r="AQ7" i="3"/>
  <c r="AP7" i="3"/>
  <c r="X7" i="3"/>
  <c r="W7" i="3"/>
  <c r="C7" i="3"/>
  <c r="CI6" i="3"/>
  <c r="BG6" i="3"/>
  <c r="AV6" i="3"/>
  <c r="AU6" i="3"/>
  <c r="AT6" i="3"/>
  <c r="AS6" i="3"/>
  <c r="AR6" i="3"/>
  <c r="AQ6" i="3"/>
  <c r="AP6" i="3"/>
  <c r="X6" i="3"/>
  <c r="W6" i="3"/>
  <c r="C6" i="3"/>
  <c r="CI5" i="3"/>
  <c r="AV5" i="3"/>
  <c r="AU5" i="3"/>
  <c r="AT5" i="3"/>
  <c r="AS5" i="3"/>
  <c r="AR5" i="3"/>
  <c r="AQ5" i="3"/>
  <c r="AP5" i="3"/>
  <c r="X5" i="3"/>
  <c r="W5" i="3"/>
  <c r="C5" i="3"/>
  <c r="AV4" i="3"/>
  <c r="AU4" i="3"/>
  <c r="AT4" i="3"/>
  <c r="AS4" i="3"/>
  <c r="AR4" i="3"/>
  <c r="AQ4" i="3"/>
  <c r="AP4" i="3"/>
  <c r="X4" i="3"/>
  <c r="W4" i="3"/>
  <c r="C4" i="3"/>
  <c r="CI3" i="3"/>
  <c r="BG3" i="3"/>
  <c r="AV3" i="3"/>
  <c r="AU3" i="3"/>
  <c r="AT3" i="3"/>
  <c r="AS3" i="3"/>
  <c r="AR3" i="3"/>
  <c r="AQ3" i="3"/>
  <c r="AP3" i="3"/>
  <c r="X3" i="3"/>
  <c r="W3" i="3"/>
  <c r="C3" i="3"/>
  <c r="CI2" i="3"/>
  <c r="BG2" i="3"/>
  <c r="AV2" i="3"/>
  <c r="AU2" i="3"/>
  <c r="AT2" i="3"/>
  <c r="AS2" i="3"/>
  <c r="AR2" i="3"/>
  <c r="AQ2" i="3"/>
  <c r="AP2" i="3"/>
  <c r="X2" i="3"/>
  <c r="W2" i="3"/>
  <c r="C2" i="3"/>
  <c r="AT103" i="2"/>
  <c r="AS103" i="2"/>
  <c r="AQ103" i="2"/>
  <c r="AP103" i="2"/>
  <c r="X103" i="2"/>
  <c r="W103" i="2"/>
  <c r="C103" i="2"/>
  <c r="CI102" i="2"/>
  <c r="AV102" i="2"/>
  <c r="AU102" i="2"/>
  <c r="AT102" i="2"/>
  <c r="AS102" i="2"/>
  <c r="AR102" i="2"/>
  <c r="AQ102" i="2"/>
  <c r="AP102" i="2"/>
  <c r="X102" i="2"/>
  <c r="W102" i="2"/>
  <c r="C102" i="2"/>
  <c r="AT101" i="2"/>
  <c r="AS101" i="2"/>
  <c r="AQ101" i="2"/>
  <c r="AP101" i="2"/>
  <c r="X101" i="2"/>
  <c r="W101" i="2"/>
  <c r="C101" i="2"/>
  <c r="CI100" i="2"/>
  <c r="AV100" i="2"/>
  <c r="AU100" i="2"/>
  <c r="AT100" i="2"/>
  <c r="AS100" i="2"/>
  <c r="AR100" i="2"/>
  <c r="AQ100" i="2"/>
  <c r="AP100" i="2"/>
  <c r="X100" i="2"/>
  <c r="W100" i="2"/>
  <c r="C100" i="2"/>
  <c r="CI99" i="2"/>
  <c r="BG99" i="2"/>
  <c r="AV99" i="2"/>
  <c r="AU99" i="2"/>
  <c r="AT99" i="2"/>
  <c r="AS99" i="2"/>
  <c r="AR99" i="2"/>
  <c r="AQ99" i="2"/>
  <c r="AP99" i="2"/>
  <c r="X99" i="2"/>
  <c r="W99" i="2"/>
  <c r="C99" i="2"/>
  <c r="CI98" i="2"/>
  <c r="BG98" i="2"/>
  <c r="AV98" i="2"/>
  <c r="AU98" i="2"/>
  <c r="AT98" i="2"/>
  <c r="AS98" i="2"/>
  <c r="AR98" i="2"/>
  <c r="AQ98" i="2"/>
  <c r="AP98" i="2"/>
  <c r="X98" i="2"/>
  <c r="W98" i="2"/>
  <c r="C98" i="2"/>
  <c r="AT97" i="2"/>
  <c r="AS97" i="2"/>
  <c r="AQ97" i="2"/>
  <c r="AP97" i="2"/>
  <c r="X97" i="2"/>
  <c r="W97" i="2"/>
  <c r="C97" i="2"/>
  <c r="CI96" i="2"/>
  <c r="BG96" i="2"/>
  <c r="AV96" i="2"/>
  <c r="AU96" i="2"/>
  <c r="AT96" i="2"/>
  <c r="AS96" i="2"/>
  <c r="AR96" i="2"/>
  <c r="AQ96" i="2"/>
  <c r="AP96" i="2"/>
  <c r="X96" i="2"/>
  <c r="W96" i="2"/>
  <c r="C96" i="2"/>
  <c r="AT95" i="2"/>
  <c r="AS95" i="2"/>
  <c r="AQ95" i="2"/>
  <c r="AP95" i="2"/>
  <c r="X95" i="2"/>
  <c r="W95" i="2"/>
  <c r="C95" i="2"/>
  <c r="AT94" i="2"/>
  <c r="AS94" i="2"/>
  <c r="AQ94" i="2"/>
  <c r="AP94" i="2"/>
  <c r="X94" i="2"/>
  <c r="W94" i="2"/>
  <c r="C94" i="2"/>
  <c r="AT93" i="2"/>
  <c r="AS93" i="2"/>
  <c r="AQ93" i="2"/>
  <c r="AP93" i="2"/>
  <c r="X93" i="2"/>
  <c r="W93" i="2"/>
  <c r="C93" i="2"/>
  <c r="AV92" i="2"/>
  <c r="AU92" i="2"/>
  <c r="AT92" i="2"/>
  <c r="AS92" i="2"/>
  <c r="AQ92" i="2"/>
  <c r="AP92" i="2"/>
  <c r="X92" i="2"/>
  <c r="W92" i="2"/>
  <c r="C92" i="2"/>
  <c r="AV91" i="2"/>
  <c r="AU91" i="2"/>
  <c r="AT91" i="2"/>
  <c r="AS91" i="2"/>
  <c r="AR91" i="2"/>
  <c r="AQ91" i="2"/>
  <c r="AP91" i="2"/>
  <c r="X91" i="2"/>
  <c r="W91" i="2"/>
  <c r="C91" i="2"/>
  <c r="CI90" i="2"/>
  <c r="BG90" i="2"/>
  <c r="AV90" i="2"/>
  <c r="AU90" i="2"/>
  <c r="AT90" i="2"/>
  <c r="AS90" i="2"/>
  <c r="AR90" i="2"/>
  <c r="AQ90" i="2"/>
  <c r="AP90" i="2"/>
  <c r="X90" i="2"/>
  <c r="W90" i="2"/>
  <c r="C90" i="2"/>
  <c r="CI89" i="2"/>
  <c r="AV89" i="2"/>
  <c r="AU89" i="2"/>
  <c r="AT89" i="2"/>
  <c r="AS89" i="2"/>
  <c r="AR89" i="2"/>
  <c r="AQ89" i="2"/>
  <c r="AP89" i="2"/>
  <c r="X89" i="2"/>
  <c r="W89" i="2"/>
  <c r="C89" i="2"/>
  <c r="AT88" i="2"/>
  <c r="AS88" i="2"/>
  <c r="AQ88" i="2"/>
  <c r="AP88" i="2"/>
  <c r="X88" i="2"/>
  <c r="W88" i="2"/>
  <c r="C88" i="2"/>
  <c r="CI87" i="2"/>
  <c r="BG87" i="2"/>
  <c r="AV87" i="2"/>
  <c r="AU87" i="2"/>
  <c r="AT87" i="2"/>
  <c r="AS87" i="2"/>
  <c r="AR87" i="2"/>
  <c r="AQ87" i="2"/>
  <c r="AP87" i="2"/>
  <c r="X87" i="2"/>
  <c r="W87" i="2"/>
  <c r="C87" i="2"/>
  <c r="CI86" i="2"/>
  <c r="BG86" i="2"/>
  <c r="AV86" i="2"/>
  <c r="AU86" i="2"/>
  <c r="AT86" i="2"/>
  <c r="AS86" i="2"/>
  <c r="AR86" i="2"/>
  <c r="AQ86" i="2"/>
  <c r="AP86" i="2"/>
  <c r="X86" i="2"/>
  <c r="W86" i="2"/>
  <c r="C86" i="2"/>
  <c r="CI85" i="2"/>
  <c r="BG85" i="2"/>
  <c r="AV85" i="2"/>
  <c r="AU85" i="2"/>
  <c r="AT85" i="2"/>
  <c r="AS85" i="2"/>
  <c r="AR85" i="2"/>
  <c r="AQ85" i="2"/>
  <c r="AP85" i="2"/>
  <c r="X85" i="2"/>
  <c r="W85" i="2"/>
  <c r="C85" i="2"/>
  <c r="CI84" i="2"/>
  <c r="AV84" i="2"/>
  <c r="AU84" i="2"/>
  <c r="AT84" i="2"/>
  <c r="AS84" i="2"/>
  <c r="AR84" i="2"/>
  <c r="AQ84" i="2"/>
  <c r="AP84" i="2"/>
  <c r="X84" i="2"/>
  <c r="W84" i="2"/>
  <c r="C84" i="2"/>
  <c r="CI83" i="2"/>
  <c r="BG83" i="2"/>
  <c r="AV83" i="2"/>
  <c r="AU83" i="2"/>
  <c r="AT83" i="2"/>
  <c r="AS83" i="2"/>
  <c r="AR83" i="2"/>
  <c r="AQ83" i="2"/>
  <c r="AP83" i="2"/>
  <c r="X83" i="2"/>
  <c r="W83" i="2"/>
  <c r="C83" i="2"/>
  <c r="AV82" i="2"/>
  <c r="AU82" i="2"/>
  <c r="AT82" i="2"/>
  <c r="AS82" i="2"/>
  <c r="AR82" i="2"/>
  <c r="AQ82" i="2"/>
  <c r="AP82" i="2"/>
  <c r="X82" i="2"/>
  <c r="W82" i="2"/>
  <c r="C82" i="2"/>
  <c r="CI81" i="2"/>
  <c r="BG81" i="2"/>
  <c r="AV81" i="2"/>
  <c r="AU81" i="2"/>
  <c r="AT81" i="2"/>
  <c r="AS81" i="2"/>
  <c r="AR81" i="2"/>
  <c r="AQ81" i="2"/>
  <c r="AP81" i="2"/>
  <c r="X81" i="2"/>
  <c r="W81" i="2"/>
  <c r="C81" i="2"/>
  <c r="CI80" i="2"/>
  <c r="BG80" i="2"/>
  <c r="AV80" i="2"/>
  <c r="AU80" i="2"/>
  <c r="AT80" i="2"/>
  <c r="AS80" i="2"/>
  <c r="AR80" i="2"/>
  <c r="AQ80" i="2"/>
  <c r="AP80" i="2"/>
  <c r="X80" i="2"/>
  <c r="W80" i="2"/>
  <c r="C80" i="2"/>
  <c r="CI79" i="2"/>
  <c r="BG79" i="2"/>
  <c r="AV79" i="2"/>
  <c r="AU79" i="2"/>
  <c r="AT79" i="2"/>
  <c r="AS79" i="2"/>
  <c r="AR79" i="2"/>
  <c r="AQ79" i="2"/>
  <c r="AP79" i="2"/>
  <c r="X79" i="2"/>
  <c r="W79" i="2"/>
  <c r="C79" i="2"/>
  <c r="CI78" i="2"/>
  <c r="BG78" i="2"/>
  <c r="AV78" i="2"/>
  <c r="AU78" i="2"/>
  <c r="AT78" i="2"/>
  <c r="AS78" i="2"/>
  <c r="AR78" i="2"/>
  <c r="AQ78" i="2"/>
  <c r="AP78" i="2"/>
  <c r="X78" i="2"/>
  <c r="W78" i="2"/>
  <c r="C78" i="2"/>
  <c r="CI77" i="2"/>
  <c r="BG77" i="2"/>
  <c r="AV77" i="2"/>
  <c r="AU77" i="2"/>
  <c r="AT77" i="2"/>
  <c r="AS77" i="2"/>
  <c r="AR77" i="2"/>
  <c r="AQ77" i="2"/>
  <c r="AP77" i="2"/>
  <c r="X77" i="2"/>
  <c r="W77" i="2"/>
  <c r="C77" i="2"/>
  <c r="AT76" i="2"/>
  <c r="AS76" i="2"/>
  <c r="AQ76" i="2"/>
  <c r="AP76" i="2"/>
  <c r="X76" i="2"/>
  <c r="W76" i="2"/>
  <c r="C76" i="2"/>
  <c r="AT75" i="2"/>
  <c r="AS75" i="2"/>
  <c r="AQ75" i="2"/>
  <c r="AP75" i="2"/>
  <c r="X75" i="2"/>
  <c r="W75" i="2"/>
  <c r="C75" i="2"/>
  <c r="CI74" i="2"/>
  <c r="BG74" i="2"/>
  <c r="AV74" i="2"/>
  <c r="AU74" i="2"/>
  <c r="AT74" i="2"/>
  <c r="AS74" i="2"/>
  <c r="AR74" i="2"/>
  <c r="AQ74" i="2"/>
  <c r="AP74" i="2"/>
  <c r="X74" i="2"/>
  <c r="W74" i="2"/>
  <c r="C74" i="2"/>
  <c r="AT73" i="2"/>
  <c r="AS73" i="2"/>
  <c r="AQ73" i="2"/>
  <c r="AP73" i="2"/>
  <c r="X73" i="2"/>
  <c r="W73" i="2"/>
  <c r="C73" i="2"/>
  <c r="AT72" i="2"/>
  <c r="AS72" i="2"/>
  <c r="AQ72" i="2"/>
  <c r="AP72" i="2"/>
  <c r="X72" i="2"/>
  <c r="W72" i="2"/>
  <c r="C72" i="2"/>
  <c r="AT71" i="2"/>
  <c r="AS71" i="2"/>
  <c r="AQ71" i="2"/>
  <c r="AP71" i="2"/>
  <c r="X71" i="2"/>
  <c r="W71" i="2"/>
  <c r="C71" i="2"/>
  <c r="AT70" i="2"/>
  <c r="AS70" i="2"/>
  <c r="AQ70" i="2"/>
  <c r="AP70" i="2"/>
  <c r="X70" i="2"/>
  <c r="W70" i="2"/>
  <c r="C70" i="2"/>
  <c r="CI69" i="2"/>
  <c r="BG69" i="2"/>
  <c r="AV69" i="2"/>
  <c r="AU69" i="2"/>
  <c r="AT69" i="2"/>
  <c r="AS69" i="2"/>
  <c r="AR69" i="2"/>
  <c r="AQ69" i="2"/>
  <c r="AP69" i="2"/>
  <c r="X69" i="2"/>
  <c r="W69" i="2"/>
  <c r="C69" i="2"/>
  <c r="CI68" i="2"/>
  <c r="BG68" i="2"/>
  <c r="AV68" i="2"/>
  <c r="AU68" i="2"/>
  <c r="AT68" i="2"/>
  <c r="AS68" i="2"/>
  <c r="AR68" i="2"/>
  <c r="AQ68" i="2"/>
  <c r="AP68" i="2"/>
  <c r="X68" i="2"/>
  <c r="W68" i="2"/>
  <c r="C68" i="2"/>
  <c r="CI67" i="2"/>
  <c r="BG67" i="2"/>
  <c r="AV67" i="2"/>
  <c r="AU67" i="2"/>
  <c r="AT67" i="2"/>
  <c r="AS67" i="2"/>
  <c r="AR67" i="2"/>
  <c r="AQ67" i="2"/>
  <c r="AP67" i="2"/>
  <c r="X67" i="2"/>
  <c r="W67" i="2"/>
  <c r="C67" i="2"/>
  <c r="CI66" i="2"/>
  <c r="BG66" i="2"/>
  <c r="AV66" i="2"/>
  <c r="AU66" i="2"/>
  <c r="AT66" i="2"/>
  <c r="AS66" i="2"/>
  <c r="AR66" i="2"/>
  <c r="AQ66" i="2"/>
  <c r="AP66" i="2"/>
  <c r="X66" i="2"/>
  <c r="W66" i="2"/>
  <c r="C66" i="2"/>
  <c r="CI65" i="2"/>
  <c r="BG65" i="2"/>
  <c r="AV65" i="2"/>
  <c r="AU65" i="2"/>
  <c r="AT65" i="2"/>
  <c r="AS65" i="2"/>
  <c r="AR65" i="2"/>
  <c r="AQ65" i="2"/>
  <c r="AP65" i="2"/>
  <c r="X65" i="2"/>
  <c r="W65" i="2"/>
  <c r="C65" i="2"/>
  <c r="CI64" i="2"/>
  <c r="AV64" i="2"/>
  <c r="AU64" i="2"/>
  <c r="AT64" i="2"/>
  <c r="AS64" i="2"/>
  <c r="AQ64" i="2"/>
  <c r="AP64" i="2"/>
  <c r="X64" i="2"/>
  <c r="W64" i="2"/>
  <c r="C64" i="2"/>
  <c r="AT63" i="2"/>
  <c r="AS63" i="2"/>
  <c r="AQ63" i="2"/>
  <c r="AP63" i="2"/>
  <c r="X63" i="2"/>
  <c r="W63" i="2"/>
  <c r="C63" i="2"/>
  <c r="AT62" i="2"/>
  <c r="AS62" i="2"/>
  <c r="AQ62" i="2"/>
  <c r="AP62" i="2"/>
  <c r="X62" i="2"/>
  <c r="W62" i="2"/>
  <c r="C62" i="2"/>
  <c r="CI61" i="2"/>
  <c r="BG61" i="2"/>
  <c r="AV61" i="2"/>
  <c r="AU61" i="2"/>
  <c r="AT61" i="2"/>
  <c r="AS61" i="2"/>
  <c r="AR61" i="2"/>
  <c r="AQ61" i="2"/>
  <c r="AP61" i="2"/>
  <c r="X61" i="2"/>
  <c r="W61" i="2"/>
  <c r="C61" i="2"/>
  <c r="AV60" i="2"/>
  <c r="AU60" i="2"/>
  <c r="AT60" i="2"/>
  <c r="AS60" i="2"/>
  <c r="AR60" i="2"/>
  <c r="AQ60" i="2"/>
  <c r="AP60" i="2"/>
  <c r="X60" i="2"/>
  <c r="W60" i="2"/>
  <c r="C60" i="2"/>
  <c r="CI59" i="2"/>
  <c r="BG59" i="2"/>
  <c r="AV59" i="2"/>
  <c r="AU59" i="2"/>
  <c r="AT59" i="2"/>
  <c r="AS59" i="2"/>
  <c r="AR59" i="2"/>
  <c r="AQ59" i="2"/>
  <c r="AP59" i="2"/>
  <c r="X59" i="2"/>
  <c r="W59" i="2"/>
  <c r="C59" i="2"/>
  <c r="CI58" i="2"/>
  <c r="BG58" i="2"/>
  <c r="AV58" i="2"/>
  <c r="AU58" i="2"/>
  <c r="AT58" i="2"/>
  <c r="AS58" i="2"/>
  <c r="AR58" i="2"/>
  <c r="AQ58" i="2"/>
  <c r="AP58" i="2"/>
  <c r="X58" i="2"/>
  <c r="W58" i="2"/>
  <c r="C58" i="2"/>
  <c r="CI57" i="2"/>
  <c r="BG57" i="2"/>
  <c r="AV57" i="2"/>
  <c r="AU57" i="2"/>
  <c r="AT57" i="2"/>
  <c r="AS57" i="2"/>
  <c r="AR57" i="2"/>
  <c r="AQ57" i="2"/>
  <c r="AP57" i="2"/>
  <c r="X57" i="2"/>
  <c r="W57" i="2"/>
  <c r="C57" i="2"/>
  <c r="CI56" i="2"/>
  <c r="BG56" i="2"/>
  <c r="AV56" i="2"/>
  <c r="AU56" i="2"/>
  <c r="AT56" i="2"/>
  <c r="AS56" i="2"/>
  <c r="AR56" i="2"/>
  <c r="AQ56" i="2"/>
  <c r="AP56" i="2"/>
  <c r="X56" i="2"/>
  <c r="W56" i="2"/>
  <c r="C56" i="2"/>
  <c r="CI55" i="2"/>
  <c r="BG55" i="2"/>
  <c r="AV55" i="2"/>
  <c r="AU55" i="2"/>
  <c r="AT55" i="2"/>
  <c r="AS55" i="2"/>
  <c r="AR55" i="2"/>
  <c r="AQ55" i="2"/>
  <c r="AP55" i="2"/>
  <c r="X55" i="2"/>
  <c r="W55" i="2"/>
  <c r="C55" i="2"/>
  <c r="CI54" i="2"/>
  <c r="BG54" i="2"/>
  <c r="AV54" i="2"/>
  <c r="AU54" i="2"/>
  <c r="AT54" i="2"/>
  <c r="AS54" i="2"/>
  <c r="AR54" i="2"/>
  <c r="AQ54" i="2"/>
  <c r="AP54" i="2"/>
  <c r="X54" i="2"/>
  <c r="W54" i="2"/>
  <c r="C54" i="2"/>
  <c r="CI53" i="2"/>
  <c r="BG53" i="2"/>
  <c r="AV53" i="2"/>
  <c r="AU53" i="2"/>
  <c r="AT53" i="2"/>
  <c r="AS53" i="2"/>
  <c r="AR53" i="2"/>
  <c r="AQ53" i="2"/>
  <c r="AP53" i="2"/>
  <c r="X53" i="2"/>
  <c r="W53" i="2"/>
  <c r="C53" i="2"/>
  <c r="AT52" i="2"/>
  <c r="AS52" i="2"/>
  <c r="AQ52" i="2"/>
  <c r="AP52" i="2"/>
  <c r="X52" i="2"/>
  <c r="W52" i="2"/>
  <c r="C52" i="2"/>
  <c r="CI51" i="2"/>
  <c r="AV51" i="2"/>
  <c r="AU51" i="2"/>
  <c r="AT51" i="2"/>
  <c r="AS51" i="2"/>
  <c r="AR51" i="2"/>
  <c r="AQ51" i="2"/>
  <c r="AP51" i="2"/>
  <c r="X51" i="2"/>
  <c r="W51" i="2"/>
  <c r="C51" i="2"/>
  <c r="CI50" i="2"/>
  <c r="BG50" i="2"/>
  <c r="AV50" i="2"/>
  <c r="AU50" i="2"/>
  <c r="AT50" i="2"/>
  <c r="AS50" i="2"/>
  <c r="AR50" i="2"/>
  <c r="AQ50" i="2"/>
  <c r="AP50" i="2"/>
  <c r="X50" i="2"/>
  <c r="W50" i="2"/>
  <c r="C50" i="2"/>
  <c r="CI49" i="2"/>
  <c r="BG49" i="2"/>
  <c r="AV49" i="2"/>
  <c r="AU49" i="2"/>
  <c r="AT49" i="2"/>
  <c r="AS49" i="2"/>
  <c r="AR49" i="2"/>
  <c r="AQ49" i="2"/>
  <c r="AP49" i="2"/>
  <c r="X49" i="2"/>
  <c r="W49" i="2"/>
  <c r="C49" i="2"/>
  <c r="CI48" i="2"/>
  <c r="BG48" i="2"/>
  <c r="AV48" i="2"/>
  <c r="AU48" i="2"/>
  <c r="AT48" i="2"/>
  <c r="AS48" i="2"/>
  <c r="AR48" i="2"/>
  <c r="AQ48" i="2"/>
  <c r="AP48" i="2"/>
  <c r="X48" i="2"/>
  <c r="W48" i="2"/>
  <c r="C48" i="2"/>
  <c r="CI47" i="2"/>
  <c r="AV47" i="2"/>
  <c r="AU47" i="2"/>
  <c r="AT47" i="2"/>
  <c r="AS47" i="2"/>
  <c r="AR47" i="2"/>
  <c r="AQ47" i="2"/>
  <c r="AP47" i="2"/>
  <c r="X47" i="2"/>
  <c r="W47" i="2"/>
  <c r="C47" i="2"/>
  <c r="CI46" i="2"/>
  <c r="BG46" i="2"/>
  <c r="AV46" i="2"/>
  <c r="AU46" i="2"/>
  <c r="AT46" i="2"/>
  <c r="AS46" i="2"/>
  <c r="AR46" i="2"/>
  <c r="AQ46" i="2"/>
  <c r="AP46" i="2"/>
  <c r="X46" i="2"/>
  <c r="W46" i="2"/>
  <c r="C46" i="2"/>
  <c r="CI45" i="2"/>
  <c r="BG45" i="2"/>
  <c r="AV45" i="2"/>
  <c r="AU45" i="2"/>
  <c r="AT45" i="2"/>
  <c r="AS45" i="2"/>
  <c r="AR45" i="2"/>
  <c r="AQ45" i="2"/>
  <c r="AP45" i="2"/>
  <c r="X45" i="2"/>
  <c r="W45" i="2"/>
  <c r="C45" i="2"/>
  <c r="CI44" i="2"/>
  <c r="BG44" i="2"/>
  <c r="AV44" i="2"/>
  <c r="AU44" i="2"/>
  <c r="AT44" i="2"/>
  <c r="AS44" i="2"/>
  <c r="AR44" i="2"/>
  <c r="AQ44" i="2"/>
  <c r="AP44" i="2"/>
  <c r="X44" i="2"/>
  <c r="W44" i="2"/>
  <c r="C44" i="2"/>
  <c r="CI43" i="2"/>
  <c r="BG43" i="2"/>
  <c r="AV43" i="2"/>
  <c r="AU43" i="2"/>
  <c r="AT43" i="2"/>
  <c r="AS43" i="2"/>
  <c r="AR43" i="2"/>
  <c r="AQ43" i="2"/>
  <c r="AP43" i="2"/>
  <c r="X43" i="2"/>
  <c r="W43" i="2"/>
  <c r="C43" i="2"/>
  <c r="CI42" i="2"/>
  <c r="BG42" i="2"/>
  <c r="AV42" i="2"/>
  <c r="AU42" i="2"/>
  <c r="AT42" i="2"/>
  <c r="AS42" i="2"/>
  <c r="AR42" i="2"/>
  <c r="AQ42" i="2"/>
  <c r="AP42" i="2"/>
  <c r="X42" i="2"/>
  <c r="W42" i="2"/>
  <c r="C42" i="2"/>
  <c r="CI41" i="2"/>
  <c r="BG41" i="2"/>
  <c r="AV41" i="2"/>
  <c r="AU41" i="2"/>
  <c r="AT41" i="2"/>
  <c r="AS41" i="2"/>
  <c r="AR41" i="2"/>
  <c r="AQ41" i="2"/>
  <c r="AP41" i="2"/>
  <c r="X41" i="2"/>
  <c r="W41" i="2"/>
  <c r="C41" i="2"/>
  <c r="AT40" i="2"/>
  <c r="AS40" i="2"/>
  <c r="AQ40" i="2"/>
  <c r="AP40" i="2"/>
  <c r="X40" i="2"/>
  <c r="W40" i="2"/>
  <c r="C40" i="2"/>
  <c r="CI39" i="2"/>
  <c r="BG39" i="2"/>
  <c r="AV39" i="2"/>
  <c r="AU39" i="2"/>
  <c r="AT39" i="2"/>
  <c r="AS39" i="2"/>
  <c r="AR39" i="2"/>
  <c r="AQ39" i="2"/>
  <c r="AP39" i="2"/>
  <c r="X39" i="2"/>
  <c r="W39" i="2"/>
  <c r="C39" i="2"/>
  <c r="CI38" i="2"/>
  <c r="BG38" i="2"/>
  <c r="AV38" i="2"/>
  <c r="AU38" i="2"/>
  <c r="AT38" i="2"/>
  <c r="AS38" i="2"/>
  <c r="AR38" i="2"/>
  <c r="AQ38" i="2"/>
  <c r="AP38" i="2"/>
  <c r="X38" i="2"/>
  <c r="W38" i="2"/>
  <c r="C38" i="2"/>
  <c r="CI37" i="2"/>
  <c r="AV37" i="2"/>
  <c r="AU37" i="2"/>
  <c r="AT37" i="2"/>
  <c r="AS37" i="2"/>
  <c r="AR37" i="2"/>
  <c r="AQ37" i="2"/>
  <c r="AP37" i="2"/>
  <c r="X37" i="2"/>
  <c r="W37" i="2"/>
  <c r="C37" i="2"/>
  <c r="AT36" i="2"/>
  <c r="AS36" i="2"/>
  <c r="AQ36" i="2"/>
  <c r="AP36" i="2"/>
  <c r="X36" i="2"/>
  <c r="W36" i="2"/>
  <c r="C36" i="2"/>
  <c r="AT35" i="2"/>
  <c r="AS35" i="2"/>
  <c r="AQ35" i="2"/>
  <c r="AP35" i="2"/>
  <c r="X35" i="2"/>
  <c r="W35" i="2"/>
  <c r="C35" i="2"/>
  <c r="CI34" i="2"/>
  <c r="BG34" i="2"/>
  <c r="AV34" i="2"/>
  <c r="AU34" i="2"/>
  <c r="AT34" i="2"/>
  <c r="AS34" i="2"/>
  <c r="AR34" i="2"/>
  <c r="AQ34" i="2"/>
  <c r="AP34" i="2"/>
  <c r="X34" i="2"/>
  <c r="W34" i="2"/>
  <c r="C34" i="2"/>
  <c r="CI33" i="2"/>
  <c r="BG33" i="2"/>
  <c r="AV33" i="2"/>
  <c r="AU33" i="2"/>
  <c r="AT33" i="2"/>
  <c r="AS33" i="2"/>
  <c r="AR33" i="2"/>
  <c r="AQ33" i="2"/>
  <c r="AP33" i="2"/>
  <c r="X33" i="2"/>
  <c r="W33" i="2"/>
  <c r="C33" i="2"/>
  <c r="CI32" i="2"/>
  <c r="BG32" i="2"/>
  <c r="AV32" i="2"/>
  <c r="AU32" i="2"/>
  <c r="AT32" i="2"/>
  <c r="AS32" i="2"/>
  <c r="AR32" i="2"/>
  <c r="AQ32" i="2"/>
  <c r="AP32" i="2"/>
  <c r="X32" i="2"/>
  <c r="W32" i="2"/>
  <c r="C32" i="2"/>
  <c r="CI31" i="2"/>
  <c r="BG31" i="2"/>
  <c r="AV31" i="2"/>
  <c r="AU31" i="2"/>
  <c r="AT31" i="2"/>
  <c r="AS31" i="2"/>
  <c r="AR31" i="2"/>
  <c r="AQ31" i="2"/>
  <c r="AP31" i="2"/>
  <c r="X31" i="2"/>
  <c r="W31" i="2"/>
  <c r="C31" i="2"/>
  <c r="AT30" i="2"/>
  <c r="AS30" i="2"/>
  <c r="AQ30" i="2"/>
  <c r="AP30" i="2"/>
  <c r="X30" i="2"/>
  <c r="W30" i="2"/>
  <c r="C30" i="2"/>
  <c r="AT29" i="2"/>
  <c r="AS29" i="2"/>
  <c r="AQ29" i="2"/>
  <c r="AP29" i="2"/>
  <c r="X29" i="2"/>
  <c r="W29" i="2"/>
  <c r="C29" i="2"/>
  <c r="CI28" i="2"/>
  <c r="BG28" i="2"/>
  <c r="AV28" i="2"/>
  <c r="AU28" i="2"/>
  <c r="AT28" i="2"/>
  <c r="AS28" i="2"/>
  <c r="AR28" i="2"/>
  <c r="AQ28" i="2"/>
  <c r="AP28" i="2"/>
  <c r="X28" i="2"/>
  <c r="W28" i="2"/>
  <c r="C28" i="2"/>
  <c r="CI27" i="2"/>
  <c r="BG27" i="2"/>
  <c r="AV27" i="2"/>
  <c r="AU27" i="2"/>
  <c r="AT27" i="2"/>
  <c r="AS27" i="2"/>
  <c r="AR27" i="2"/>
  <c r="AQ27" i="2"/>
  <c r="AP27" i="2"/>
  <c r="X27" i="2"/>
  <c r="W27" i="2"/>
  <c r="C27" i="2"/>
  <c r="CI26" i="2"/>
  <c r="BG26" i="2"/>
  <c r="AV26" i="2"/>
  <c r="AU26" i="2"/>
  <c r="AT26" i="2"/>
  <c r="AS26" i="2"/>
  <c r="AR26" i="2"/>
  <c r="AQ26" i="2"/>
  <c r="AP26" i="2"/>
  <c r="X26" i="2"/>
  <c r="W26" i="2"/>
  <c r="C26" i="2"/>
  <c r="CI25" i="2"/>
  <c r="BG25" i="2"/>
  <c r="AV25" i="2"/>
  <c r="AU25" i="2"/>
  <c r="AT25" i="2"/>
  <c r="AS25" i="2"/>
  <c r="AR25" i="2"/>
  <c r="AQ25" i="2"/>
  <c r="AP25" i="2"/>
  <c r="X25" i="2"/>
  <c r="W25" i="2"/>
  <c r="C25" i="2"/>
  <c r="CI24" i="2"/>
  <c r="BG24" i="2"/>
  <c r="AV24" i="2"/>
  <c r="AU24" i="2"/>
  <c r="AT24" i="2"/>
  <c r="AS24" i="2"/>
  <c r="AR24" i="2"/>
  <c r="AQ24" i="2"/>
  <c r="AP24" i="2"/>
  <c r="X24" i="2"/>
  <c r="W24" i="2"/>
  <c r="C24" i="2"/>
  <c r="CI23" i="2"/>
  <c r="BG23" i="2"/>
  <c r="AV23" i="2"/>
  <c r="AU23" i="2"/>
  <c r="AT23" i="2"/>
  <c r="AS23" i="2"/>
  <c r="AR23" i="2"/>
  <c r="AQ23" i="2"/>
  <c r="AP23" i="2"/>
  <c r="X23" i="2"/>
  <c r="W23" i="2"/>
  <c r="C23" i="2"/>
  <c r="CI22" i="2"/>
  <c r="BG22" i="2"/>
  <c r="AV22" i="2"/>
  <c r="AU22" i="2"/>
  <c r="AT22" i="2"/>
  <c r="AS22" i="2"/>
  <c r="AR22" i="2"/>
  <c r="AQ22" i="2"/>
  <c r="AP22" i="2"/>
  <c r="X22" i="2"/>
  <c r="W22" i="2"/>
  <c r="V22" i="2"/>
  <c r="U22" i="2"/>
  <c r="C22" i="2"/>
  <c r="CI21" i="2"/>
  <c r="BG21" i="2"/>
  <c r="AV21" i="2"/>
  <c r="AU21" i="2"/>
  <c r="AT21" i="2"/>
  <c r="AS21" i="2"/>
  <c r="AR21" i="2"/>
  <c r="AQ21" i="2"/>
  <c r="AP21" i="2"/>
  <c r="X21" i="2"/>
  <c r="W21" i="2"/>
  <c r="C21" i="2"/>
  <c r="CI20" i="2"/>
  <c r="BG20" i="2"/>
  <c r="AV20" i="2"/>
  <c r="AU20" i="2"/>
  <c r="AT20" i="2"/>
  <c r="AS20" i="2"/>
  <c r="AR20" i="2"/>
  <c r="AQ20" i="2"/>
  <c r="AP20" i="2"/>
  <c r="X20" i="2"/>
  <c r="W20" i="2"/>
  <c r="C20" i="2"/>
  <c r="CI19" i="2"/>
  <c r="BG19" i="2"/>
  <c r="AV19" i="2"/>
  <c r="AU19" i="2"/>
  <c r="AT19" i="2"/>
  <c r="AS19" i="2"/>
  <c r="AR19" i="2"/>
  <c r="AQ19" i="2"/>
  <c r="AP19" i="2"/>
  <c r="X19" i="2"/>
  <c r="W19" i="2"/>
  <c r="C19" i="2"/>
  <c r="CI18" i="2"/>
  <c r="BG18" i="2"/>
  <c r="AV18" i="2"/>
  <c r="AU18" i="2"/>
  <c r="AT18" i="2"/>
  <c r="AS18" i="2"/>
  <c r="AR18" i="2"/>
  <c r="AQ18" i="2"/>
  <c r="AP18" i="2"/>
  <c r="X18" i="2"/>
  <c r="W18" i="2"/>
  <c r="C18" i="2"/>
  <c r="CI17" i="2"/>
  <c r="BG17" i="2"/>
  <c r="AV17" i="2"/>
  <c r="AU17" i="2"/>
  <c r="AT17" i="2"/>
  <c r="AS17" i="2"/>
  <c r="AR17" i="2"/>
  <c r="AQ17" i="2"/>
  <c r="AP17" i="2"/>
  <c r="X17" i="2"/>
  <c r="W17" i="2"/>
  <c r="C17" i="2"/>
  <c r="CI16" i="2"/>
  <c r="BG16" i="2"/>
  <c r="AV16" i="2"/>
  <c r="AU16" i="2"/>
  <c r="AT16" i="2"/>
  <c r="AS16" i="2"/>
  <c r="AR16" i="2"/>
  <c r="AQ16" i="2"/>
  <c r="AP16" i="2"/>
  <c r="X16" i="2"/>
  <c r="W16" i="2"/>
  <c r="C16" i="2"/>
  <c r="CI15" i="2"/>
  <c r="BG15" i="2"/>
  <c r="AV15" i="2"/>
  <c r="AU15" i="2"/>
  <c r="AT15" i="2"/>
  <c r="AS15" i="2"/>
  <c r="AR15" i="2"/>
  <c r="AQ15" i="2"/>
  <c r="AP15" i="2"/>
  <c r="X15" i="2"/>
  <c r="W15" i="2"/>
  <c r="C15" i="2"/>
  <c r="CI14" i="2"/>
  <c r="BG14" i="2"/>
  <c r="AV14" i="2"/>
  <c r="AU14" i="2"/>
  <c r="AT14" i="2"/>
  <c r="AS14" i="2"/>
  <c r="AR14" i="2"/>
  <c r="AQ14" i="2"/>
  <c r="AP14" i="2"/>
  <c r="X14" i="2"/>
  <c r="W14" i="2"/>
  <c r="C14" i="2"/>
  <c r="CI13" i="2"/>
  <c r="BG13" i="2"/>
  <c r="AV13" i="2"/>
  <c r="AU13" i="2"/>
  <c r="AT13" i="2"/>
  <c r="AS13" i="2"/>
  <c r="AR13" i="2"/>
  <c r="AQ13" i="2"/>
  <c r="AP13" i="2"/>
  <c r="X13" i="2"/>
  <c r="W13" i="2"/>
  <c r="C13" i="2"/>
  <c r="CI12" i="2"/>
  <c r="BG12" i="2"/>
  <c r="AV12" i="2"/>
  <c r="AU12" i="2"/>
  <c r="AT12" i="2"/>
  <c r="AS12" i="2"/>
  <c r="AR12" i="2"/>
  <c r="AQ12" i="2"/>
  <c r="AP12" i="2"/>
  <c r="X12" i="2"/>
  <c r="W12" i="2"/>
  <c r="C12" i="2"/>
  <c r="CI11" i="2"/>
  <c r="AV11" i="2"/>
  <c r="AU11" i="2"/>
  <c r="AT11" i="2"/>
  <c r="AS11" i="2"/>
  <c r="AR11" i="2"/>
  <c r="AQ11" i="2"/>
  <c r="AP11" i="2"/>
  <c r="X11" i="2"/>
  <c r="W11" i="2"/>
  <c r="C11" i="2"/>
  <c r="CI10" i="2"/>
  <c r="BG10" i="2"/>
  <c r="AV10" i="2"/>
  <c r="AU10" i="2"/>
  <c r="AT10" i="2"/>
  <c r="AS10" i="2"/>
  <c r="AR10" i="2"/>
  <c r="AQ10" i="2"/>
  <c r="AP10" i="2"/>
  <c r="X10" i="2"/>
  <c r="W10" i="2"/>
  <c r="C10" i="2"/>
  <c r="CI9" i="2"/>
  <c r="BG9" i="2"/>
  <c r="AV9" i="2"/>
  <c r="AU9" i="2"/>
  <c r="AT9" i="2"/>
  <c r="AS9" i="2"/>
  <c r="AR9" i="2"/>
  <c r="AQ9" i="2"/>
  <c r="AP9" i="2"/>
  <c r="X9" i="2"/>
  <c r="W9" i="2"/>
  <c r="C9" i="2"/>
  <c r="CI8" i="2"/>
  <c r="BG8" i="2"/>
  <c r="AV8" i="2"/>
  <c r="AU8" i="2"/>
  <c r="AT8" i="2"/>
  <c r="AS8" i="2"/>
  <c r="AR8" i="2"/>
  <c r="AQ8" i="2"/>
  <c r="AP8" i="2"/>
  <c r="X8" i="2"/>
  <c r="W8" i="2"/>
  <c r="C8" i="2"/>
  <c r="CI7" i="2"/>
  <c r="BG7" i="2"/>
  <c r="AV7" i="2"/>
  <c r="AU7" i="2"/>
  <c r="AT7" i="2"/>
  <c r="AS7" i="2"/>
  <c r="AR7" i="2"/>
  <c r="AQ7" i="2"/>
  <c r="AP7" i="2"/>
  <c r="X7" i="2"/>
  <c r="W7" i="2"/>
  <c r="C7" i="2"/>
  <c r="CI6" i="2"/>
  <c r="BG6" i="2"/>
  <c r="AV6" i="2"/>
  <c r="AU6" i="2"/>
  <c r="AT6" i="2"/>
  <c r="AS6" i="2"/>
  <c r="AR6" i="2"/>
  <c r="AQ6" i="2"/>
  <c r="AP6" i="2"/>
  <c r="X6" i="2"/>
  <c r="W6" i="2"/>
  <c r="C6" i="2"/>
  <c r="CI5" i="2"/>
  <c r="AV5" i="2"/>
  <c r="AU5" i="2"/>
  <c r="AT5" i="2"/>
  <c r="AS5" i="2"/>
  <c r="AR5" i="2"/>
  <c r="AQ5" i="2"/>
  <c r="AP5" i="2"/>
  <c r="X5" i="2"/>
  <c r="W5" i="2"/>
  <c r="C5" i="2"/>
  <c r="AV4" i="2"/>
  <c r="AU4" i="2"/>
  <c r="AT4" i="2"/>
  <c r="AS4" i="2"/>
  <c r="AR4" i="2"/>
  <c r="AQ4" i="2"/>
  <c r="AP4" i="2"/>
  <c r="X4" i="2"/>
  <c r="W4" i="2"/>
  <c r="C4" i="2"/>
  <c r="CI3" i="2"/>
  <c r="BG3" i="2"/>
  <c r="AV3" i="2"/>
  <c r="AU3" i="2"/>
  <c r="AT3" i="2"/>
  <c r="AS3" i="2"/>
  <c r="AR3" i="2"/>
  <c r="AQ3" i="2"/>
  <c r="AP3" i="2"/>
  <c r="X3" i="2"/>
  <c r="W3" i="2"/>
  <c r="C3" i="2"/>
  <c r="CI2" i="2"/>
  <c r="BG2" i="2"/>
  <c r="AV2" i="2"/>
  <c r="AU2" i="2"/>
  <c r="AT2" i="2"/>
  <c r="AS2" i="2"/>
  <c r="AR2" i="2"/>
  <c r="AQ2" i="2"/>
  <c r="AP2" i="2"/>
  <c r="X2" i="2"/>
  <c r="W2" i="2"/>
  <c r="C2" i="2"/>
</calcChain>
</file>

<file path=xl/sharedStrings.xml><?xml version="1.0" encoding="utf-8"?>
<sst xmlns="http://schemas.openxmlformats.org/spreadsheetml/2006/main" count="6954" uniqueCount="1018">
  <si>
    <t>ID работника</t>
  </si>
  <si>
    <t>ID персонала</t>
  </si>
  <si>
    <t>ИИН</t>
  </si>
  <si>
    <t>Фамилия</t>
  </si>
  <si>
    <t>Имя</t>
  </si>
  <si>
    <t>Отчество</t>
  </si>
  <si>
    <t>Дата рождения</t>
  </si>
  <si>
    <t>Причина отсутствия ИИН [7303]</t>
  </si>
  <si>
    <t>Пол [199]</t>
  </si>
  <si>
    <t>Гражданство [6417]</t>
  </si>
  <si>
    <t>Национальность [5703]</t>
  </si>
  <si>
    <t>Номер документа, удостоверяющего личность [7299]</t>
  </si>
  <si>
    <t>Дата выдачи документа, удостоверяющего личность [7300]</t>
  </si>
  <si>
    <t>Вложение (прикрепите скан копию документа, удостоверяющего личность: 1-я скан копия, страница с паспорта, где ФИО) [7301]</t>
  </si>
  <si>
    <t>Вложение (прикрепите скан копию документа, удостоверяющего личность: 2-я скан копия, страница с печатью пограничной службы) [7302]</t>
  </si>
  <si>
    <t>Воинское звание [241]</t>
  </si>
  <si>
    <t>Инвалид [7066]</t>
  </si>
  <si>
    <t>Группа инвалидности [7067]</t>
  </si>
  <si>
    <t>Причина инвалидности [7068]</t>
  </si>
  <si>
    <t>Срок инвалидности [7069]</t>
  </si>
  <si>
    <t>Дата установления инвалидности [7185]</t>
  </si>
  <si>
    <t>Срок инвалидности  до [7070]</t>
  </si>
  <si>
    <t>Дата принятия на работу [233]</t>
  </si>
  <si>
    <t>Номер приказа о принятии на работу [6746]</t>
  </si>
  <si>
    <t>Приказ о приеме на работу [order_hire]</t>
  </si>
  <si>
    <t>Принят на работу [235]</t>
  </si>
  <si>
    <t>Срок трудового договора [6375]</t>
  </si>
  <si>
    <t>Справка об отсутствии медицинских противопоказании [reference_non_medical_contraindications]</t>
  </si>
  <si>
    <t>Справка об отсутствии в учете психиатрическом и (или) наркологическом диспансере [reference_non_psychiatric_narcology]</t>
  </si>
  <si>
    <t>Справка о несудимости [reference_non_conviction]</t>
  </si>
  <si>
    <t>Текущий статус сотрудника [6977]</t>
  </si>
  <si>
    <t>Должность [6649]</t>
  </si>
  <si>
    <t>Ставка основной должности [6659]</t>
  </si>
  <si>
    <t>Сотрудник [230]</t>
  </si>
  <si>
    <t>Академическая, ученая степень [6798]</t>
  </si>
  <si>
    <t>Образование [197]</t>
  </si>
  <si>
    <t>Прошел педагогическую переподготовку на базе ВУЗа [8818]</t>
  </si>
  <si>
    <t>Диплом [teacher_diploma]</t>
  </si>
  <si>
    <t>Заключение аттестации [conclusion_of_certification]</t>
  </si>
  <si>
    <t>Признак образования [229]</t>
  </si>
  <si>
    <t>Специальное дефектологическое образование [6279]</t>
  </si>
  <si>
    <t>Общий  стаж работы  на момент принятия на работу [7003]</t>
  </si>
  <si>
    <t>Общий  стаж работы на текущий момент [7061]</t>
  </si>
  <si>
    <t>Стаж педагогической работы на текущий момент [7004]</t>
  </si>
  <si>
    <t>Стаж педагогической работы на текущий момент [7062]</t>
  </si>
  <si>
    <t>Общий стаж работы в данной организации [7180]</t>
  </si>
  <si>
    <t>Электронный адрес (Е-mail) [6430]</t>
  </si>
  <si>
    <t>Сотовый телефон (номер) [6431]</t>
  </si>
  <si>
    <t>Категория [198]</t>
  </si>
  <si>
    <t>Год подтверждения либо присвоения категории [6751]</t>
  </si>
  <si>
    <t>Категория руководящей должности [management_position_category]</t>
  </si>
  <si>
    <t>Язык обучения [5579]</t>
  </si>
  <si>
    <t>Мониторинг уровня усвоения ТУПр, % [monitoring_level] / стартовый [start]</t>
  </si>
  <si>
    <t>Мониторинг уровня усвоения ТУПр, % [monitoring_level] / промежуточный [middle]</t>
  </si>
  <si>
    <t>Мониторинг уровня усвоения ТУПр, % [monitoring_level] / итоговый [last]</t>
  </si>
  <si>
    <t>Ведет предмет (основная нагрузка)* [6658]</t>
  </si>
  <si>
    <t>Соответствие по основному предмету [6660]</t>
  </si>
  <si>
    <t>Ставка основного предмета [6661]</t>
  </si>
  <si>
    <t>Количество часов в неделю [6662]</t>
  </si>
  <si>
    <t>Дополнительная должность [6749] / Должность [76298]</t>
  </si>
  <si>
    <t>Дополнительная должность [6749] / Ставка [76299]</t>
  </si>
  <si>
    <t>Категория дополнительной должности [additional_post_category]</t>
  </si>
  <si>
    <t>Год подтверждения либо присвоения категории дополнительной должности [additional_category_confirmation]</t>
  </si>
  <si>
    <t>Ведет предмет (дополнительная нагрузка) [6285] / Предмет [75742]</t>
  </si>
  <si>
    <t>Ведет предмет (дополнительная нагрузка) [6285] / Ставка [75963]</t>
  </si>
  <si>
    <t>Наличие компьютерных/иных устройств дома [7215]</t>
  </si>
  <si>
    <t>Инвентарный номер [7236]</t>
  </si>
  <si>
    <t>Источник приобретения [7237]</t>
  </si>
  <si>
    <t>Год приобретения [7238]</t>
  </si>
  <si>
    <t>Наличие доступа к Интернету дома [7216]</t>
  </si>
  <si>
    <t>Обеспечен [7242]</t>
  </si>
  <si>
    <t>Серийный номер модема/роутера [7243]</t>
  </si>
  <si>
    <t>Прошел(-а) курсы по повышению квалификации [5736] / Место прохождения [75139]</t>
  </si>
  <si>
    <t>Прошел(-а) курсы по повышению квалификации [5736] / Предмет [75163]</t>
  </si>
  <si>
    <t>Прошел(-а) курсы по повышению квалификации [5736] / Программа обучения [76665]</t>
  </si>
  <si>
    <t>Прошел(-а) курсы по повышению квалификации [5736] / Форма прохождения [76666]</t>
  </si>
  <si>
    <t>Прошел(-а) курсы по повышению квалификации [5736] / Язык обучения [76667]</t>
  </si>
  <si>
    <t>Прошел(-а) курсы по повышению квалификации [5736] / Продолжительность курса, часы [76668]</t>
  </si>
  <si>
    <t>Прошел(-а) курсы по повышению квалификации [5736] / Дата начала курса [76669]</t>
  </si>
  <si>
    <t>Прошел(-а) курсы по повышению квалификации [5736] / Дата завершения [76670]</t>
  </si>
  <si>
    <t>Прошел(-а) курсы по повышению квалификации [5736] / № сертификата (диплома, грамоты) [76671]</t>
  </si>
  <si>
    <t>Преподает факультативный предмет [7051]</t>
  </si>
  <si>
    <t>В каких классах преподает [225]</t>
  </si>
  <si>
    <t>В каких классах больше часов [6380]</t>
  </si>
  <si>
    <t>Ведет предмет по дисциплинам естественно-математического цикла на английском языке [5680] / Предмет [74932]</t>
  </si>
  <si>
    <t>Ведет предмет по дисциплинам естественно-математического цикла на английском языке [5680] / Получает доплату [76664]</t>
  </si>
  <si>
    <t>Педагогический стаж по преподаванию на английском языке [5681]</t>
  </si>
  <si>
    <t>Учитель иностранного языка, прибывший из-за рубежа [6013]</t>
  </si>
  <si>
    <t>Учитель классов с вечерней формой обучения [243]</t>
  </si>
  <si>
    <t>Наличие классного руководства [7050]</t>
  </si>
  <si>
    <t>Документ, о прохождении курсов по повышению квалификации [training_courses]</t>
  </si>
  <si>
    <t>Уровень владения английским языком [425]</t>
  </si>
  <si>
    <t>Преподает или ведет воспитательный процесс детям с особыми образовательными потребностями [7063]</t>
  </si>
  <si>
    <t>Дата расторжения/прекращения трудового договора [234]</t>
  </si>
  <si>
    <t>Номер приказа о расторжении/прекращении трудового договора [6750]</t>
  </si>
  <si>
    <t>Причина расторжения/прекращения трудового договора [236]</t>
  </si>
  <si>
    <t>Приказ о расторжении/прекращении трудового договора [order_fire]</t>
  </si>
  <si>
    <t>Учебный год [ed_year_pers]</t>
  </si>
  <si>
    <t>Статус тестируемого [status_who_tested]</t>
  </si>
  <si>
    <t>Полученный балл [Test_score]</t>
  </si>
  <si>
    <t>Дата тестирования [Test_date]</t>
  </si>
  <si>
    <t>Номер приказа [order_number]</t>
  </si>
  <si>
    <t>Дата приказа [order_date]</t>
  </si>
  <si>
    <t>КАЙНАРОВА</t>
  </si>
  <si>
    <t>АКМАРАЛ</t>
  </si>
  <si>
    <t>РЫСБЕККЫЗЫ</t>
  </si>
  <si>
    <t>женский</t>
  </si>
  <si>
    <t>КАЗАХСТАН</t>
  </si>
  <si>
    <t>Казахи</t>
  </si>
  <si>
    <t>невоеннообязан</t>
  </si>
  <si>
    <t>другого района, города данной области</t>
  </si>
  <si>
    <t>неопределенный</t>
  </si>
  <si>
    <t>находится в декретном отпуске</t>
  </si>
  <si>
    <t>учитель/преподаватель</t>
  </si>
  <si>
    <t>штатный</t>
  </si>
  <si>
    <t>не имеет степени</t>
  </si>
  <si>
    <t>Высшее (педагогическое)</t>
  </si>
  <si>
    <t>педагогическое</t>
  </si>
  <si>
    <t>нет</t>
  </si>
  <si>
    <t>педагог</t>
  </si>
  <si>
    <t>[казахский, русский]</t>
  </si>
  <si>
    <t>Биология</t>
  </si>
  <si>
    <t>по специальности, полученной в ВУЗе</t>
  </si>
  <si>
    <t>АО НЦПК «Өрлеу» (Региональные филиалы АО  НЦПК«Өрлеу»)</t>
  </si>
  <si>
    <t>В рамках обновления содержания среднего образования</t>
  </si>
  <si>
    <t>очная</t>
  </si>
  <si>
    <t>казахский</t>
  </si>
  <si>
    <t>2019-04-15T00:00:00</t>
  </si>
  <si>
    <t>2019-04-26T00:00:00</t>
  </si>
  <si>
    <t>Экология</t>
  </si>
  <si>
    <t>[]</t>
  </si>
  <si>
    <t>Да</t>
  </si>
  <si>
    <t>Elementary</t>
  </si>
  <si>
    <t>СМАИЛОВА</t>
  </si>
  <si>
    <t>АЙГУЛЬ</t>
  </si>
  <si>
    <t>БАЙЗУЛЛАЕВНА</t>
  </si>
  <si>
    <t>Нет</t>
  </si>
  <si>
    <t>из другой организации образования</t>
  </si>
  <si>
    <t>работает в данной организации</t>
  </si>
  <si>
    <t>педагог-эксперт</t>
  </si>
  <si>
    <t>Присвоено в 2021 году</t>
  </si>
  <si>
    <t>Казахский язык и литература</t>
  </si>
  <si>
    <t>смартфон</t>
  </si>
  <si>
    <t>АО НЦПК «Өрлеу» (Региональные филиалы АО  НЦПК«Өрлеу»), АО НЦПК «Өрлеу» (Региональные филиалы АО  НЦПК«Өрлеу»), АО НЦПК «Өрлеу» (Региональные филиалы АО  НЦПК«Өрлеу»)</t>
  </si>
  <si>
    <t>Казахский язык и литература, Казахский язык и литература, Казахский язык и литература</t>
  </si>
  <si>
    <t>В рамках обновления содержания среднего образования, Другие программы, Предметные курсы/предмет</t>
  </si>
  <si>
    <t>очная, очная, очная</t>
  </si>
  <si>
    <t>казахский, казахский, казахский</t>
  </si>
  <si>
    <t>120, 72, 80</t>
  </si>
  <si>
    <t>2016-11-07T00:00:00, 2023-11-13T00:00:00, 2023-04-23T00:00:00</t>
  </si>
  <si>
    <t>2016-11-25T00:00:00, 2023-11-24T00:00:00, 2020-05-08T00:00:00</t>
  </si>
  <si>
    <t>0152577, 0742420, 0338570</t>
  </si>
  <si>
    <t>[10 класс, 9 класс, 8 класс]</t>
  </si>
  <si>
    <t>5-11(12)</t>
  </si>
  <si>
    <t>ЖАКУПОВА</t>
  </si>
  <si>
    <t>АЛИЯ</t>
  </si>
  <si>
    <t>БАЛТАБАЕВНА</t>
  </si>
  <si>
    <t>учитель-логопед</t>
  </si>
  <si>
    <t>да</t>
  </si>
  <si>
    <t>педагог-модератор</t>
  </si>
  <si>
    <t>Присвоено в 2019 году</t>
  </si>
  <si>
    <t>ноутбук (личный)</t>
  </si>
  <si>
    <t>РГКП «Республиканский учебно-методический центр дополнительного образования» МОН РК, РГКП «Республиканский учебно-методический центр дополнительного образования» МОН РК, Другие организации , Другие организации , Другие организации</t>
  </si>
  <si>
    <t>Логопедия, Логопедия, Логопедия, Формирование произношения и развитие слухового восприятия, Коррекция недостатков развития речи</t>
  </si>
  <si>
    <t>Инклюзивное образование, Инклюзивное образование, Инновационные методы обучения , Инклюзивное образование, Инклюзивное образование</t>
  </si>
  <si>
    <t>очная, очная, очная, дистанционная, дистанционная</t>
  </si>
  <si>
    <t>русский, русский, русский, казахский, русский</t>
  </si>
  <si>
    <t>120, 72, 72, 8, 72</t>
  </si>
  <si>
    <t>2019-10-28T00:00:00, 2019-06-20T00:00:00, 2018-11-02T00:00:00, 2022-01-14T00:00:00, 2021-09-17T00:00:00</t>
  </si>
  <si>
    <t>2019-11-12T00:00:00, 2019-06-30T00:00:00, 2018-11-12T00:00:00, 2022-01-14T00:00:00, 2021-09-24T00:00:00</t>
  </si>
  <si>
    <t>№113369, №100261, 091917, 1288, 011534</t>
  </si>
  <si>
    <t>не преподает</t>
  </si>
  <si>
    <t>САДЫКОВА</t>
  </si>
  <si>
    <t>НАЗЕРКЕ</t>
  </si>
  <si>
    <t>БОЛАТОВНА</t>
  </si>
  <si>
    <t>из педагогического ВУЗа</t>
  </si>
  <si>
    <t>педагог-психолог</t>
  </si>
  <si>
    <t>[русский, казахский]</t>
  </si>
  <si>
    <t>АО НЦПК «Өрлеу» (Региональные филиалы АО  НЦПК«Өрлеу»), АО НЦПК «Өрлеу» (Региональные филиалы АО  НЦПК«Өрлеу»), Другие организации</t>
  </si>
  <si>
    <t>Самопознание, Обязательные индивидуальные и групповые коррекционные занятия по восполнению пробелов в знаниях, Психология</t>
  </si>
  <si>
    <t>Профессиональная компетентность , Инклюзивное образование, Предметные курсы/предмет</t>
  </si>
  <si>
    <t>72, 72, 72</t>
  </si>
  <si>
    <t>2017-06-05T00:00:00, 2018-11-12T00:00:00, 2023-07-10T00:00:00</t>
  </si>
  <si>
    <t>2017-06-16T00:00:00, 2018-11-16T00:00:00, 2023-07-27T00:00:00</t>
  </si>
  <si>
    <t>0540560, 021645, 095209</t>
  </si>
  <si>
    <t>для детей с задержкой психического развития</t>
  </si>
  <si>
    <t>РАШИДИНОВА</t>
  </si>
  <si>
    <t>АКЕРКЕ</t>
  </si>
  <si>
    <t>КАЙРАТКЫЗЫ</t>
  </si>
  <si>
    <t>[казахский]</t>
  </si>
  <si>
    <t>Английский язык</t>
  </si>
  <si>
    <t>АО НЦПК «Өрлеу» (Региональные филиалы АО  НЦПК«Өрлеу»), Другие организации , АО НЦПК «Өрлеу» (Региональные филиалы АО  НЦПК«Өрлеу»), АО НЦПК «Өрлеу» (Региональные филиалы АО  НЦПК«Өрлеу»), Другие организации , АО НЦПК «Өрлеу» (Региональные филиалы АО  НЦПК«Өрлеу»)</t>
  </si>
  <si>
    <t>Английский язык, Английский язык, Английский язык, Английский язык, Английский язык, Английский язык</t>
  </si>
  <si>
    <t>В рамках обновления содержания среднего образования, Инклюзивное образование, Предметные курсы/предмет, Предметные курсы/предмет, Инклюзивное образование, Другие программы</t>
  </si>
  <si>
    <t>очная, очная, дистанционная, очная, очная, очная</t>
  </si>
  <si>
    <t>казахский, казахский, казахский, казахский, казахский, казахский</t>
  </si>
  <si>
    <t>120, 120, 80, 80, 72, 8</t>
  </si>
  <si>
    <t>2018-07-02T00:00:00, 2019-10-28T00:00:00, 2020-04-27T00:00:00, 2022-10-10T00:00:00, 2022-12-19T00:00:00, 2021-08-30T00:00:00</t>
  </si>
  <si>
    <t>2018-07-20T00:00:00, 2019-11-12T00:00:00, 2020-05-08T00:00:00, 2022-10-21T00:00:00, 2023-01-06T00:00:00, 2021-08-30T00:00:00</t>
  </si>
  <si>
    <t>010328, нет, 0325411, 0536380, 094527, 044304</t>
  </si>
  <si>
    <t>[3 класс, 7 класс, 6 класс, 5 класс, 9 класс, 8 класс, 10 класс, 4 класс]</t>
  </si>
  <si>
    <t>Proficiency</t>
  </si>
  <si>
    <t>ТОКАРЧИК</t>
  </si>
  <si>
    <t>АЛЕНА</t>
  </si>
  <si>
    <t>ЮРЬЕВНА</t>
  </si>
  <si>
    <t>Русские</t>
  </si>
  <si>
    <t>из педагогического колледжа</t>
  </si>
  <si>
    <t>учитель начальных классов</t>
  </si>
  <si>
    <t>Техническое и профессиональное (педагогическое)</t>
  </si>
  <si>
    <t>Присвоено в 2020 году</t>
  </si>
  <si>
    <t>заместитель руководителя</t>
  </si>
  <si>
    <t>[русский]</t>
  </si>
  <si>
    <t>начальное обучение</t>
  </si>
  <si>
    <t>по специальности, полученной в организации ТиПО</t>
  </si>
  <si>
    <t>заместитель директора по учебной работе</t>
  </si>
  <si>
    <t>АО НЦПК «Өрлеу» (Региональные филиалы АО  НЦПК«Өрлеу»), Другие организации , АО НЦПК «Өрлеу» (Региональные филиалы АО  НЦПК«Өрлеу»), Другие организации</t>
  </si>
  <si>
    <t>начальное обучение, начальное обучение, Английский язык, начальное обучение</t>
  </si>
  <si>
    <t>В рамках обновления содержания среднего образования, Инклюзивное образование, Предметные курсы/предмет, Инклюзивное образование</t>
  </si>
  <si>
    <t>очная, очная, очная, очная</t>
  </si>
  <si>
    <t>русский, русский, русский, русский</t>
  </si>
  <si>
    <t>120, 120, 160, 72</t>
  </si>
  <si>
    <t>2019-08-19T00:00:00, 2019-10-28T00:00:00, 2020-09-05T00:00:00, 2022-12-19T00:00:00</t>
  </si>
  <si>
    <t>2019-09-06T00:00:00, 2019-11-12T00:00:00, 2020-10-05T00:00:00, 2023-01-06T00:00:00</t>
  </si>
  <si>
    <t>021536, нет, 016412, 194540</t>
  </si>
  <si>
    <t>[1 класс]</t>
  </si>
  <si>
    <t>ОСПАНОВА</t>
  </si>
  <si>
    <t>ДАМЕТКЕН</t>
  </si>
  <si>
    <t>КАМЗЕВНА</t>
  </si>
  <si>
    <t>директор</t>
  </si>
  <si>
    <t>магистр</t>
  </si>
  <si>
    <t>Послевузовское образование (магистр, доктор PhD)</t>
  </si>
  <si>
    <t>педагог-исследователь</t>
  </si>
  <si>
    <t>Присвоено в 2023 году</t>
  </si>
  <si>
    <t>руководитель</t>
  </si>
  <si>
    <t>АО НЦПК «Өрлеу» (Региональные филиалы АО  НЦПК«Өрлеу»), АО НЦПК «Өрлеу» (Региональные филиалы АО  НЦПК«Өрлеу»), Другие организации , Другие организации , Другие организации , Другие организации , Другие организации , Другие организации</t>
  </si>
  <si>
    <t>начальное обучение, Предметно-практическая деятельность, начальное обучение, начальное обучение, начальное обучение, начальное обучение, начальное обучение, Предметно-практическое обучение</t>
  </si>
  <si>
    <t>В рамках обновления содержания среднего образования, Информационно-коммуникационные технологии (ИКТ), Менеджмент в сфере образования, Инклюзивное образование, Учебно-воспитательный процесс, Для руководителей школ, Учебно-воспитательный процесс, Для руководителей школ</t>
  </si>
  <si>
    <t>очная, очная, очная, очная, очная, очная, очная, очная</t>
  </si>
  <si>
    <t>казахский, казахский, казахский, казахский, казахский, русский, казахский, казахский</t>
  </si>
  <si>
    <t>120, 72, 80, 72, 72, 80, 36, 24</t>
  </si>
  <si>
    <t>2018-05-14T00:00:00, 2017-03-06T00:00:00, 2021-10-04T00:00:00, 2022-07-11T00:00:00, 2022-12-26T00:00:00, 2023-04-04T00:00:00, 2023-05-21T00:00:00, 2023-08-08T00:00:00</t>
  </si>
  <si>
    <t>2018-06-01T00:00:00, 2017-03-17T00:00:00, 2021-10-15T00:00:00, 2022-07-29T00:00:00, 2023-01-06T00:00:00, 2023-04-20T00:00:00, 2023-05-26T00:00:00, 2023-08-11T00:00:00</t>
  </si>
  <si>
    <t>004700, 111542, 190243, 093784, 094378, 78, 0020221, 0230679</t>
  </si>
  <si>
    <t>[2 класс]</t>
  </si>
  <si>
    <t>для детей с нарушением интеллекта</t>
  </si>
  <si>
    <t>ТУРСУНБАЕВА</t>
  </si>
  <si>
    <t>АЛТЫН</t>
  </si>
  <si>
    <t>АО НЦПК «Өрлеу» (Региональные филиалы АО  НЦПК«Өрлеу»), АО НЦПК «Өрлеу» (Региональные филиалы АО  НЦПК«Өрлеу»), Курсы по обновленным программам, АО НЦПК «Өрлеу» (Региональные филиалы АО  НЦПК«Өрлеу»), Другие организации</t>
  </si>
  <si>
    <t>Казахский язык и литература, Предметно-практическая деятельность, Казахский язык и литература, Казахский язык и литература, Казахский язык и литература</t>
  </si>
  <si>
    <t>В рамках обновления содержания среднего образования, Информационно-коммуникационные технологии (ИКТ), Учебно-воспитательный процесс, Информационно-коммуникационные технологии (ИКТ), Инклюзивное образование</t>
  </si>
  <si>
    <t>очная, очная, очная, очная, очная</t>
  </si>
  <si>
    <t>казахский, казахский, казахский, казахский, казахский</t>
  </si>
  <si>
    <t>120, 72, 80, 8, 72</t>
  </si>
  <si>
    <t>2017-11-20T00:00:00, 2016-11-21T00:00:00, 2020-10-15T00:00:00, 2021-09-08T00:00:00, 2023-07-28T00:00:00</t>
  </si>
  <si>
    <t>2017-12-08T00:00:00, 2016-12-02T00:00:00, 2020-10-30T00:00:00, 2021-09-08T00:00:00, 2023-08-15T00:00:00</t>
  </si>
  <si>
    <t>007323, 100256, 149029, 42199, 095208</t>
  </si>
  <si>
    <t>[7 класс, 11 класс]</t>
  </si>
  <si>
    <t>КАЙДАРОВА</t>
  </si>
  <si>
    <t>САРА</t>
  </si>
  <si>
    <t>ЕРМЕКОВНА</t>
  </si>
  <si>
    <t>АО НЦПК «Өрлеу» (Региональные филиалы АО  НЦПК«Өрлеу»), Другие организации , АО НЦПК «Өрлеу» (Региональные филиалы АО  НЦПК«Өрлеу»), Другие организации , Другие организации , Другие организации</t>
  </si>
  <si>
    <t>Казахский язык и литература, Казахский язык и литература, Казахский язык и литература, Казахский язык и литература, Казахский язык и литература, Казахский язык и литература</t>
  </si>
  <si>
    <t>В рамках обновления содержания среднего образования, Инклюзивное образование, Предметные курсы/предмет, Предметные курсы/предмет, Использование цифровых ресурсов в преподавании предметов, Инклюзивное образование</t>
  </si>
  <si>
    <t>очная, очная, очная, очная, дистанционная, очная</t>
  </si>
  <si>
    <t>казахский, русский, казахский, казахский, казахский, казахский</t>
  </si>
  <si>
    <t>120, 120, 80, 80, 16, 72</t>
  </si>
  <si>
    <t>2019-02-18T00:00:00, 2019-10-28T00:00:00, 2020-05-08T00:00:00, 2021-04-13T00:00:00, 2021-08-24T00:00:00, 2022-12-19T00:00:00</t>
  </si>
  <si>
    <t>2019-03-07T00:00:00, 2019-11-12T00:00:00, 2020-05-22T00:00:00, 2021-04-27T00:00:00, 2021-08-24T00:00:00, 2023-01-06T00:00:00</t>
  </si>
  <si>
    <t>003810, нет, 0338681, 001135, 13873, 094523</t>
  </si>
  <si>
    <t>[11 класс, 10 класс, 9 класс, 6 класс]</t>
  </si>
  <si>
    <t>МАНТАРИДИ</t>
  </si>
  <si>
    <t>ТАТЬЯНА</t>
  </si>
  <si>
    <t>ВЛАДИМИРОВНА</t>
  </si>
  <si>
    <t>Украинцы</t>
  </si>
  <si>
    <t>инспектор по профориентационной работе</t>
  </si>
  <si>
    <t>стационарный компьютер (личный)</t>
  </si>
  <si>
    <t>АО НЦПК «Өрлеу» (Региональные филиалы АО  НЦПК«Өрлеу»), Другие организации высшего и послевузовского образования, РГКП «Республиканский учебно-методический центр дополнительного образования» МОН РК, Другие организации , Другие организации</t>
  </si>
  <si>
    <t>Самопознание, другие, Психология, другие, Психология</t>
  </si>
  <si>
    <t>Предметные курсы/предмет, Для педагогов в системе специального и инклюзивного образования, Инклюзивное образование, Другие программы, Предметные курсы/предмет</t>
  </si>
  <si>
    <t>русский, русский, русский, русский, русский</t>
  </si>
  <si>
    <t>72, 80, 120, 8, 72</t>
  </si>
  <si>
    <t>2018-10-01T00:00:00, 2018-09-03T00:00:00, 2019-10-28T00:00:00, 2023-02-22T00:00:00, 2023-07-28T00:00:00</t>
  </si>
  <si>
    <t>2018-10-12T00:00:00, 2018-09-17T00:00:00, 2019-11-12T00:00:00, 2023-02-22T00:00:00, 2023-08-15T00:00:00</t>
  </si>
  <si>
    <t>0331001, 000159, №113368, 13851, 095211</t>
  </si>
  <si>
    <t>[6 класс, 9 класс, 7 класс, 8 класс, 10 класс]</t>
  </si>
  <si>
    <t>НУРМУХАНБЕТОВА</t>
  </si>
  <si>
    <t>АЛИНА</t>
  </si>
  <si>
    <t>АМАНЖОЛОВНА</t>
  </si>
  <si>
    <t>География</t>
  </si>
  <si>
    <t>Центр педагогического мастерства АОО «НИШ», Другие организации</t>
  </si>
  <si>
    <t>География, География</t>
  </si>
  <si>
    <t>В рамках обновления содержания среднего образования, Инклюзивное образование</t>
  </si>
  <si>
    <t>очная, очная</t>
  </si>
  <si>
    <t>русский, русский</t>
  </si>
  <si>
    <t>80, 120</t>
  </si>
  <si>
    <t>2018-07-02T00:00:00, 2019-10-28T00:00:00</t>
  </si>
  <si>
    <t>2018-07-13T00:00:00, 2019-11-12T00:00:00</t>
  </si>
  <si>
    <t>004871, нет</t>
  </si>
  <si>
    <t>БАЗАЙКИНА</t>
  </si>
  <si>
    <t>ИРИНА</t>
  </si>
  <si>
    <t>АО НЦПК «Өрлеу» (Региональные филиалы АО  НЦПК«Өрлеу»), Другие организации</t>
  </si>
  <si>
    <t>другие, начальное обучение</t>
  </si>
  <si>
    <t>В рамках обновленного содержания образования/ предмет, Инклюзивное образование</t>
  </si>
  <si>
    <t>72, 120</t>
  </si>
  <si>
    <t>2019-07-15T00:00:00, 2019-10-28T00:00:00</t>
  </si>
  <si>
    <t>2019-07-25T00:00:00, 2019-11-12T00:00:00</t>
  </si>
  <si>
    <t>003459, нет</t>
  </si>
  <si>
    <t>ШАКЕНОВА</t>
  </si>
  <si>
    <t>АЛТЫНБЕКОВНА</t>
  </si>
  <si>
    <t>Казахский язык и литература, Казахский язык и литература, Казахский язык и литература, Казахский язык и литература</t>
  </si>
  <si>
    <t>В рамках обновления содержания среднего образования, Инклюзивное образование, Предметные курсы/предмет, Предметные курсы/предмет</t>
  </si>
  <si>
    <t>казахский, казахский, казахский, казахский</t>
  </si>
  <si>
    <t>120, 120, 80, 72</t>
  </si>
  <si>
    <t>2018-04-02T00:00:00, 2019-11-28T00:00:00, 2020-04-24T00:00:00, 2022-12-26T00:00:00</t>
  </si>
  <si>
    <t>2018-04-20T00:00:00, 2019-11-12T00:00:00, 2020-05-08T00:00:00, 2023-01-06T00:00:00</t>
  </si>
  <si>
    <t>002135, нет, 0338561, 094373</t>
  </si>
  <si>
    <t>[2 класс, 4 класс, 3 класс, 1 класс, 8 класс, 6 класс]</t>
  </si>
  <si>
    <t>БОРИСОВА</t>
  </si>
  <si>
    <t>ВАЛЕНТИНА</t>
  </si>
  <si>
    <t>ПАВЛОВНА</t>
  </si>
  <si>
    <t>Русский язык и литература</t>
  </si>
  <si>
    <t>Русский язык и литература, Русский язык и литература</t>
  </si>
  <si>
    <t>дистанционная, очная</t>
  </si>
  <si>
    <t>2018-10-15T00:00:00, 2019-10-28T00:00:00</t>
  </si>
  <si>
    <t>2018-10-26T00:00:00, 2019-11-12T00:00:00</t>
  </si>
  <si>
    <t>0249839, нет</t>
  </si>
  <si>
    <t>[9 класс]</t>
  </si>
  <si>
    <t>ГОНЧАРОВА</t>
  </si>
  <si>
    <t>НИНА</t>
  </si>
  <si>
    <t>ОСКАРОВНА</t>
  </si>
  <si>
    <t>Присвоено в 2018 году</t>
  </si>
  <si>
    <t>АО НЦПК «Өрлеу» (Региональные филиалы АО  НЦПК«Өрлеу»), АО НЦПК «Өрлеу» (Региональные филиалы АО  НЦПК«Өрлеу»)</t>
  </si>
  <si>
    <t>начальное обучение, начальное обучение</t>
  </si>
  <si>
    <t>В рамках обновления содержания среднего образования, Информационно-коммуникационные технологии (ИКТ)</t>
  </si>
  <si>
    <t>120, 72</t>
  </si>
  <si>
    <t>2017-05-15T00:00:00, 2016-11-21T00:00:00</t>
  </si>
  <si>
    <t>2017-06-02T00:00:00, 2016-12-02T00:00:00</t>
  </si>
  <si>
    <t>005721, 100326</t>
  </si>
  <si>
    <t>[3 класс]</t>
  </si>
  <si>
    <t>ГРИХ</t>
  </si>
  <si>
    <t>ЛЮДМИЛА</t>
  </si>
  <si>
    <t>ВАСИЛЬЕВНА</t>
  </si>
  <si>
    <t>другой области Республики</t>
  </si>
  <si>
    <t>Физика/Астрономия</t>
  </si>
  <si>
    <t>Физика/Астрономия , Математика/алгебра/геометрия, Физика/Астрономия</t>
  </si>
  <si>
    <t>В рамках обновления содержания среднего образования, Информационно-коммуникационные технологии (ИКТ), Менеджмент в сфере образования</t>
  </si>
  <si>
    <t>русский, русский, русский</t>
  </si>
  <si>
    <t>80, 72, 72</t>
  </si>
  <si>
    <t>2019-02-11T00:00:00, 2018-09-04T00:00:00, 2021-10-04T00:00:00</t>
  </si>
  <si>
    <t>2019-02-22T00:00:00, 2018-09-15T00:00:00, 2021-10-16T00:00:00</t>
  </si>
  <si>
    <t>003194, 224, 211001</t>
  </si>
  <si>
    <t>[7 класс, 8 класс, 9 класс, 10 класс, 11 класс, 6 класс]</t>
  </si>
  <si>
    <t>КАКИМОВА</t>
  </si>
  <si>
    <t>НУРБАНУ</t>
  </si>
  <si>
    <t>ТЛЕУЛЕСОВНА</t>
  </si>
  <si>
    <t>Математика/алгебра/геометрия</t>
  </si>
  <si>
    <t>АО НЦПК «Өрлеу» (Региональные филиалы АО  НЦПК«Өрлеу»), АО НЦПК «Өрлеу» (Региональные филиалы АО  НЦПК«Өрлеу»), Другие организации , Курсы по обновленным программам, АО НЦПК «Өрлеу» (Региональные филиалы АО  НЦПК«Өрлеу»), АО НЦПК «Өрлеу» (Региональные филиалы АО  НЦПК«Өрлеу»), Другие организации , Другие организации , АО НЦПК «Өрлеу» (Региональные филиалы АО  НЦПК«Өрлеу»)</t>
  </si>
  <si>
    <t>Математика/алгебра/геометрия, Математика/алгебра/геометрия, Математика/алгебра/геометрия, Математика/алгебра/геометрия, Математика/алгебра/геометрия, Математика/алгебра/геометрия, Математика/алгебра/геометрия, Математика/алгебра/геометрия, Математика/алгебра/геометрия</t>
  </si>
  <si>
    <t>В рамках обновления содержания среднего образования, Информационно-коммуникационные технологии (ИКТ), Другие программы, Предметные курсы/предмет, Другие программы, Другие программы, Другие программы, В рамках обновленного содержания образования в системе специального и инклюзивного образования/предмет, Педагогическая компетентность: развитие и совершенствование</t>
  </si>
  <si>
    <t>очная, очная, очная, дистанционная, очная, очная, очная, очная, очная</t>
  </si>
  <si>
    <t>русский, русский, русский, русский, русский, русский, русский, русский, русский</t>
  </si>
  <si>
    <t>80, 72, 52, 56, 8, 24, 16, 72, 80</t>
  </si>
  <si>
    <t>2018-04-16T00:00:00, 2016-11-21T00:00:00, 2019-09-08T00:00:00, 2020-06-23T00:00:00, 2021-08-24T00:00:00, 2022-04-19T00:00:00, 2022-02-01T00:00:00, 2022-12-19T00:00:00, 2022-04-07T00:00:00</t>
  </si>
  <si>
    <t>2018-04-27T00:00:00, 2016-12-02T00:00:00, 2019-09-16T00:00:00, 2020-07-10T00:00:00, 2021-08-24T00:00:00, 2022-04-21T00:00:00, 2022-02-02T00:00:00, 2023-01-06T00:00:00, 2022-04-22T00:00:00</t>
  </si>
  <si>
    <t>007090, 100246, 381, 050е28b7, 12687, 036145, 22222abe1, 094518, 0483495</t>
  </si>
  <si>
    <t>[9 класс, 5 класс, 10 класс]</t>
  </si>
  <si>
    <t>ЛИТВИНЕНКО</t>
  </si>
  <si>
    <t>НАТАЛИЯ</t>
  </si>
  <si>
    <t>МИХАЙЛОВНА</t>
  </si>
  <si>
    <t>120, 8</t>
  </si>
  <si>
    <t>2018-06-11T00:00:00, 2021-08-24T00:00:00</t>
  </si>
  <si>
    <t>2018-06-29T00:00:00, 2021-08-24T00:00:00</t>
  </si>
  <si>
    <t>002810, 13000</t>
  </si>
  <si>
    <t>[7 класс, 9 класс, 11 класс, 6 класс]</t>
  </si>
  <si>
    <t>ОРЛОВА</t>
  </si>
  <si>
    <t>ЕЛЕНА</t>
  </si>
  <si>
    <t>АНАТОЛЬЕВНА</t>
  </si>
  <si>
    <t>АО НЦПК «Өрлеу» (Региональные филиалы АО  НЦПК«Өрлеу»), АО НЦПК «Өрлеу» (Региональные филиалы АО  НЦПК«Өрлеу»), Другие организации , Другие организации , АО НЦПК «Өрлеу» (Региональные филиалы АО  НЦПК«Өрлеу»)</t>
  </si>
  <si>
    <t>начальное обучение, начальное обучение, начальное обучение, начальное обучение, начальное обучение</t>
  </si>
  <si>
    <t>В рамках обновления содержания среднего образования, Информационно-коммуникационные технологии (ИКТ), Инклюзивное образование, Инклюзивное образование, Предметные курсы/предмет</t>
  </si>
  <si>
    <t>120, 72, 120, 72, 80</t>
  </si>
  <si>
    <t>2018-05-14T00:00:00, 2016-03-11T00:00:00, 2019-10-28T00:00:00, 2022-12-19T00:00:00, 2023-10-16T00:00:00</t>
  </si>
  <si>
    <t>2018-06-01T00:00:00, 2016-12-02T00:00:00, 2019-11-12T00:00:00, 2023-01-06T00:00:00, 2023-10-27T00:00:00</t>
  </si>
  <si>
    <t>002408, 110356, нет, 094520, 0639055</t>
  </si>
  <si>
    <t>[4 класс]</t>
  </si>
  <si>
    <t>ПИЧУРИЧКО</t>
  </si>
  <si>
    <t>2018-05-14T00:00:00, 2022-12-19T00:00:00</t>
  </si>
  <si>
    <t>2018-06-01T00:00:00, 2023-01-06T00:00:00</t>
  </si>
  <si>
    <t>010719, 094540</t>
  </si>
  <si>
    <t>ЛУКАШЕНКО</t>
  </si>
  <si>
    <t>ВАЛЕРИЯ</t>
  </si>
  <si>
    <t>ЛЕОНИДОВНА</t>
  </si>
  <si>
    <t>Белорусы</t>
  </si>
  <si>
    <t>Вторая</t>
  </si>
  <si>
    <t>общее заболевание</t>
  </si>
  <si>
    <t>1 год</t>
  </si>
  <si>
    <t>из другой школы</t>
  </si>
  <si>
    <t>История</t>
  </si>
  <si>
    <t>Центр педагогического мастерства АОО «НИШ», АО НЦПК «Өрлеу» (Региональные филиалы АО  НЦПК«Өрлеу»), Другие организации , Другие организации</t>
  </si>
  <si>
    <t>История, История, История, История</t>
  </si>
  <si>
    <t>В рамках обновления содержания среднего образования, Информационно-коммуникационные технологии (ИКТ), Инклюзивное образование, Инклюзивное образование</t>
  </si>
  <si>
    <t>80, 72, 120, 72</t>
  </si>
  <si>
    <t>2019-06-17T00:00:00, 2017-03-06T00:00:00, 2019-10-28T00:00:00, 2022-12-19T00:00:00</t>
  </si>
  <si>
    <t>2019-06-28T00:00:00, 2017-03-17T00:00:00, 2019-11-12T00:00:00, 2023-12-06T00:00:00</t>
  </si>
  <si>
    <t>001235, 111203, нет, 094545</t>
  </si>
  <si>
    <t>Религиоведение</t>
  </si>
  <si>
    <t>[9 класс, 10 класс, 6 класс, 11 класс]</t>
  </si>
  <si>
    <t>РУБАНОВА</t>
  </si>
  <si>
    <t>ЯКОВЛЕВНА</t>
  </si>
  <si>
    <t>АО НЦПК «Өрлеу» (Региональные филиалы АО  НЦПК«Өрлеу»), АО НЦПК «Өрлеу» (Региональные филиалы АО  НЦПК«Өрлеу»), Другие организации , Курсы по обновленным программам, Другие организации , Другие организации</t>
  </si>
  <si>
    <t>начальное обучение, Предметно-практическая деятельность, начальное обучение, начальное обучение, начальное обучение, начальное обучение</t>
  </si>
  <si>
    <t>В рамках обновления содержания среднего образования, Информационно-коммуникационные технологии (ИКТ), Инклюзивное образование, Предметные курсы/предмет, Инклюзивное образование, Предметные курсы/предмет</t>
  </si>
  <si>
    <t>очная, очная, очная, очная, очная, очная</t>
  </si>
  <si>
    <t>русский, русский, русский, русский, русский, русский</t>
  </si>
  <si>
    <t>120, 72, 120, 120, 72, 72</t>
  </si>
  <si>
    <t>2018-03-26T00:00:00, 2016-11-21T00:00:00, 2019-10-28T00:00:00, 2021-07-10T00:00:00, 2022-12-19T00:00:00, 2022-12-26T00:00:00</t>
  </si>
  <si>
    <t>2018-04-13T00:00:00, 2016-12-02T00:00:00, 2019-11-12T00:00:00, 2021-08-10T00:00:00, 2023-01-06T00:00:00, 2023-01-06T00:00:00</t>
  </si>
  <si>
    <t>010468, 100325, нет, 000303, 094544, 094380</t>
  </si>
  <si>
    <t>Грамота (чтение, письмо, устная речь, дактильная речь)</t>
  </si>
  <si>
    <t>САРМАНОВА</t>
  </si>
  <si>
    <t>АЙКЫН</t>
  </si>
  <si>
    <t>МАКАМАДИЯРОВНА</t>
  </si>
  <si>
    <t>другой страны</t>
  </si>
  <si>
    <t>Подтверждено в 2023 году</t>
  </si>
  <si>
    <t>Художественный труд</t>
  </si>
  <si>
    <t>АО НЦПК «Өрлеу» (Региональные филиалы АО  НЦПК«Өрлеу»), Другие организации , Другие организации , Другие организации</t>
  </si>
  <si>
    <t>начальное обучение, начальное обучение, начальное обучение, начальное обучение</t>
  </si>
  <si>
    <t>120, 72, 72, 72</t>
  </si>
  <si>
    <t>2018-05-14T00:00:00, 2022-12-26T00:00:00, 2022-12-26T00:00:00, 2023-07-17T00:00:00</t>
  </si>
  <si>
    <t>2018-06-01T00:00:00, 2023-01-06T00:00:00, 2023-01-06T00:00:00, 2023-08-07T00:00:00</t>
  </si>
  <si>
    <t>024704, 094519, 094383, 095012</t>
  </si>
  <si>
    <t>[1 класс, 5 класс, 9 класс, 7 класс, 6 класс, 8 класс]</t>
  </si>
  <si>
    <t>ЦЫБУЛЬСКАЯ</t>
  </si>
  <si>
    <t>АЛЕКСАНДРОВНА</t>
  </si>
  <si>
    <t>Информатика</t>
  </si>
  <si>
    <t>Технология</t>
  </si>
  <si>
    <t>АО НЦПК «Өрлеу» (Региональные филиалы АО  НЦПК«Өрлеу»), АО НЦПК «Өрлеу» (Региональные филиалы АО  НЦПК«Өрлеу»), АО НЦПК «Өрлеу» (Региональные филиалы АО  НЦПК«Өрлеу»), Другие организации</t>
  </si>
  <si>
    <t>Технология, Предметно-практическая деятельность, Художественный труд , Информатика</t>
  </si>
  <si>
    <t>В рамках обновления содержания среднего образования, Информационно-коммуникационные технологии (ИКТ), Предметные курсы/предмет, Инклюзивное образование</t>
  </si>
  <si>
    <t>80, 72, 80, 72</t>
  </si>
  <si>
    <t>2019-06-17T00:00:00, 2017-03-06T00:00:00, 2022-02-04T00:00:00, 2022-12-19T00:00:00</t>
  </si>
  <si>
    <t>2019-06-28T00:00:00, 2017-03-17T00:00:00, 2022-02-18T00:00:00, 2023-01-06T00:00:00</t>
  </si>
  <si>
    <t>007536, 111235, 0435035, 094536</t>
  </si>
  <si>
    <t>[7 класс, 8 класс, 9 класс, 11 класс, 10 класс, 6 класс, 5 класс, 3 класс]</t>
  </si>
  <si>
    <t>ШИТОВА</t>
  </si>
  <si>
    <t>ИННА</t>
  </si>
  <si>
    <t>ВИКТОРОВНА</t>
  </si>
  <si>
    <t>библиотекарь</t>
  </si>
  <si>
    <t>Центр педагогического мастерства АОО «НИШ», Другие организации , АО НЦПК «Өрлеу» (Региональные филиалы АО  НЦПК«Өрлеу»)</t>
  </si>
  <si>
    <t>Художественный труд , Художественный труд , Хозяйственный труд</t>
  </si>
  <si>
    <t>В рамках обновления содержания среднего образования, Инклюзивное образование, Предметные курсы/предмет</t>
  </si>
  <si>
    <t>40, 120, 80</t>
  </si>
  <si>
    <t>2018-06-04T00:00:00, 2019-10-28T00:00:00, 2022-02-04T00:00:00</t>
  </si>
  <si>
    <t>2018-06-08T00:00:00, 2019-11-12T00:00:00, 2022-02-18T00:00:00</t>
  </si>
  <si>
    <t>000123, нет, 0435036</t>
  </si>
  <si>
    <t>[5 класс, 8 класс, 9 класс, 6 класс, 7 класс]</t>
  </si>
  <si>
    <t>ИСАЕВА</t>
  </si>
  <si>
    <t>РИММА</t>
  </si>
  <si>
    <t>СЕРГЕЕВНА</t>
  </si>
  <si>
    <t>социальный педагог</t>
  </si>
  <si>
    <t>АО НЦПК «Өрлеу» (Региональные филиалы АО  НЦПК«Өрлеу»), АО НЦПК «Өрлеу» (Региональные филиалы АО  НЦПК«Өрлеу»), Другие организации , АО НЦПК «Өрлеу» (Региональные филиалы АО  НЦПК«Өрлеу»), Другие организации , АО НЦПК «Өрлеу» (Региональные филиалы АО  НЦПК«Өрлеу»), АО НЦПК «Өрлеу» (Региональные филиалы АО  НЦПК«Өрлеу»)</t>
  </si>
  <si>
    <t>начальное обучение, Социальная адаптация и трудовая подготовка, начальное обучение, начальное обучение, начальное обучение, Социально – бытовая ориентировка, начальное обучение</t>
  </si>
  <si>
    <t>В рамках обновления содержания среднего образования, Инклюзивное образование, Инклюзивное образование, Педагогическая компетентность: развитие и совершенствование, Инклюзивное образование, Социально-педагогическое сопровождение, Информационно-коммуникационные технологии (ИКТ)</t>
  </si>
  <si>
    <t>очная, очная, очная, очная, очная, дистанционная, дистанционная</t>
  </si>
  <si>
    <t>русский, русский, русский, русский, русский, русский, русский</t>
  </si>
  <si>
    <t>120, 80, 120, 80, 72, 8, 8</t>
  </si>
  <si>
    <t>2017-06-05T00:00:00, 2017-11-06T00:00:00, 2019-10-28T00:00:00, 2023-10-16T00:00:00, 2022-12-19T00:00:00, 2023-02-22T00:00:00, 2021-08-24T00:00:00</t>
  </si>
  <si>
    <t>2017-06-23T00:00:00, 2017-11-17T00:00:00, 2019-11-12T00:00:00, 2023-10-27T00:00:00, 2023-01-06T00:00:00, 2023-02-22T00:00:00, 2021-08-24T00:00:00</t>
  </si>
  <si>
    <t>005727, 000123, нет, 0639043, 094517, 13850, 17241</t>
  </si>
  <si>
    <t>ЗАКАРИЯНОВА</t>
  </si>
  <si>
    <t>БАЯН</t>
  </si>
  <si>
    <t>ТУЛЕГЕНОВНА</t>
  </si>
  <si>
    <t>АО НЦПК «Өрлеу» (Региональные филиалы АО  НЦПК«Өрлеу»), Другие организации , АО НЦПК «Өрлеу» (Региональные филиалы АО  НЦПК«Өрлеу»), Другие организации , Другие организации , АО НЦПК «Өрлеу» (Региональные филиалы АО  НЦПК«Өрлеу»), АО НЦПК «Өрлеу» (Региональные филиалы АО  НЦПК«Өрлеу»)</t>
  </si>
  <si>
    <t>начальное обучение, начальное обучение, Русский язык и литература, Русский язык и литература, Русский язык и литература, Русский язык и литература, начальное обучение</t>
  </si>
  <si>
    <t>В рамках обновления содержания среднего образования, Инклюзивное образование, Использование цифровых ресурсов в преподавании предметов, Инклюзивное образование, Предметные курсы/предмет, Предметные курсы/предмет, Предметные курсы/предмет</t>
  </si>
  <si>
    <t>очная, очная, дистанционная, очная, очная, очная, очная</t>
  </si>
  <si>
    <t>казахский, казахский, казахский, казахский, казахский, казахский, казахский</t>
  </si>
  <si>
    <t>120, 120, 8, 72, 80, 80, 80</t>
  </si>
  <si>
    <t>2016-05-02T00:00:00, 2019-10-28T00:00:00, 2021-09-08T00:00:00, 2022-12-19T00:00:00, 2022-08-10T00:00:00, 2022-10-10T00:00:00, 2021-06-25T00:00:00</t>
  </si>
  <si>
    <t>2016-05-20T00:00:00, 2019-11-12T00:00:00, 2021-09-08T00:00:00, 2023-01-06T00:00:00, 2022-08-24T00:00:00, 2022-10-21T00:00:00, 2021-07-02T00:00:00</t>
  </si>
  <si>
    <t>0065897, нет, 41756, 094516, 080140, 0536340, 0405411</t>
  </si>
  <si>
    <t>[6 класс, 8 класс, 10 класс, 9 класс, 7 класс, 5 класс]</t>
  </si>
  <si>
    <t>ПРИВАЛОВА</t>
  </si>
  <si>
    <t>ОКСАНА</t>
  </si>
  <si>
    <t>уборщик служебных помещений</t>
  </si>
  <si>
    <t>Техническое и профессиональное образование</t>
  </si>
  <si>
    <t>другое</t>
  </si>
  <si>
    <t>ИСХАНОВА</t>
  </si>
  <si>
    <t>АШИМОВНА</t>
  </si>
  <si>
    <t>гардеробщик</t>
  </si>
  <si>
    <t>Общее среднее образование</t>
  </si>
  <si>
    <t>КОШАНОВА</t>
  </si>
  <si>
    <t>ДАНА</t>
  </si>
  <si>
    <t>ТАЛГАТОВНА</t>
  </si>
  <si>
    <t>Центр педагогического мастерства АОО «НИШ», Другие организации , Другие организации , АО НЦПК «Өрлеу» (Региональные филиалы АО  НЦПК«Өрлеу»), Другие организации</t>
  </si>
  <si>
    <t>В рамках обновления содержания среднего образования, Инклюзивное образование, Предметные курсы/предмет, Педагогическая компетентность: развитие и совершенствование, Предметные курсы/предмет</t>
  </si>
  <si>
    <t>120, 72, 72, 80, 72</t>
  </si>
  <si>
    <t>2018-07-02T00:00:00, 2022-12-19T00:00:00, 2023-09-04T00:00:00, 2023-06-12T00:00:00, 2022-12-26T00:00:00</t>
  </si>
  <si>
    <t>2018-07-20T00:00:00, 2023-01-06T00:00:00, 2023-09-21T00:00:00, 2023-06-23T00:00:00, 2023-01-06T00:00:00</t>
  </si>
  <si>
    <t>034733, 094521, 095238, 0635378, 094382</t>
  </si>
  <si>
    <t>КЕНЕНБАЕВА</t>
  </si>
  <si>
    <t>ЗУЛЬФИЯ</t>
  </si>
  <si>
    <t>КАДЫРОВНА</t>
  </si>
  <si>
    <t>заместитель директора по воспитательной работе</t>
  </si>
  <si>
    <t>Другие организации , Курсы по обновленным программам, АО НЦПК «Өрлеу» (Региональные филиалы АО  НЦПК«Өрлеу»), Другие организации</t>
  </si>
  <si>
    <t>География, География, География, Социально-бытовая ориентировка</t>
  </si>
  <si>
    <t>Предметные курсы/предмет, Предметные курсы/предмет, Предметные курсы/предмет, Учебно-воспитательный процесс</t>
  </si>
  <si>
    <t>очная, дистанционная, очная, очная</t>
  </si>
  <si>
    <t>казахский, русский, русский, русский</t>
  </si>
  <si>
    <t>80, 56, 80, 40</t>
  </si>
  <si>
    <t>2022-09-08T00:00:00, 2020-09-23T00:00:00, 2022-07-18T00:00:00, 2023-10-04T00:00:00</t>
  </si>
  <si>
    <t>2022-09-22T00:00:00, 2020-07-28T00:00:00, 2022-07-01T00:00:00, 2023-10-13T00:00:00</t>
  </si>
  <si>
    <t>003249, 248а1703, 0518470, 0033652</t>
  </si>
  <si>
    <t>[11 класс, 7 класс, 8 класс, 9 класс, 10 класс]</t>
  </si>
  <si>
    <t>ШИРЯЕВА</t>
  </si>
  <si>
    <t>ЕКАТЕРИНА</t>
  </si>
  <si>
    <t>ФЕДОРОВНА</t>
  </si>
  <si>
    <t>АО НЦПК «Өрлеу» (Региональные филиалы АО  НЦПК«Өрлеу»), АО НЦПК «Өрлеу» (Региональные филиалы АО  НЦПК«Өрлеу»), АО НЦПК «Өрлеу» (Региональные филиалы АО  НЦПК«Өрлеу»), АО НЦПК «Өрлеу» (Региональные филиалы АО  НЦПК«Өрлеу»), АО НЦПК «Өрлеу» (Региональные филиалы АО  НЦПК«Өрлеу»), Другие организации</t>
  </si>
  <si>
    <t>Английский язык, Английский язык, Английский язык, Социально-бытовая ориентировка, Английский язык, Английский язык</t>
  </si>
  <si>
    <t>В рамках обновления содержания среднего образования, Предметные курсы/предмет, Информационно-коммуникационные технологии (ИКТ), Учебно-воспитательный процесс, Предметные курсы/предмет, Инклюзивное образование</t>
  </si>
  <si>
    <t>120, 80, 8, 8, 24, 72</t>
  </si>
  <si>
    <t>2016-06-06T00:00:00, 2021-06-04T00:00:00, 2021-09-07T00:00:00, 2022-03-11T00:00:00, 2023-09-05T00:00:00, 2022-02-19T00:00:00</t>
  </si>
  <si>
    <t>2016-06-24T00:00:00, 2021-06-18T00:00:00, 2021-09-07T00:00:00, 2022-03-11T00:00:00, 2023-09-12T00:00:00, 2023-01-06T00:00:00</t>
  </si>
  <si>
    <t>000371, 0405279, 35623, 002895, 135227, 094604</t>
  </si>
  <si>
    <t>[9 класс, 10 класс, 11 класс, 8 класс]</t>
  </si>
  <si>
    <t>для детей с нарушением функций опорно-двигательного аппарата (НФОДА)</t>
  </si>
  <si>
    <t>ЧЕРНОВА</t>
  </si>
  <si>
    <t>ДМИТРИЕВНА</t>
  </si>
  <si>
    <t>возвратился на педагогическую работу из числа бывших учителей</t>
  </si>
  <si>
    <t>заместитель директора по учебно-воспитательной работе</t>
  </si>
  <si>
    <t>АО НЦПК «Өрлеу» (Региональные филиалы АО  НЦПК«Өрлеу»), РГКП «Республиканский учебно-методический центр дополнительного образования» МОН РК, АО НЦПК «Өрлеу» (Региональные филиалы АО  НЦПК«Өрлеу»), АО НЦПК «Өрлеу» (Региональные филиалы АО  НЦПК«Өрлеу»), Курсы по обновленным программам, Другие организации</t>
  </si>
  <si>
    <t>Математика/алгебра/геометрия, Математика/алгебра/геометрия, Математика/алгебра/геометрия, Математика/алгебра/геометрия, Математика/алгебра/геометрия, Математика/алгебра/геометрия</t>
  </si>
  <si>
    <t>В рамках обновления содержания среднего образования, Инклюзивное образование, Информационно-коммуникационные технологии (ИКТ), Информационно-коммуникационные технологии (ИКТ), Предметные курсы/предмет, Предметные курсы/предмет</t>
  </si>
  <si>
    <t>80, 120, 72, 8, 56, 72</t>
  </si>
  <si>
    <t>2017-06-05T00:00:00, 2019-10-28T00:00:00, 2017-03-06T00:00:00, 2021-08-24T00:00:00, 2021-06-19T00:00:00, 2022-12-26T00:00:00</t>
  </si>
  <si>
    <t>2017-06-16T00:00:00, 2019-11-12T00:00:00, 2017-03-17T00:00:00, 2021-08-24T00:00:00, 2021-06-29T00:00:00, 2023-01-06T00:00:00</t>
  </si>
  <si>
    <t>000161, №113370, 111302, 07365, 129de4266, 094375</t>
  </si>
  <si>
    <t>[5 класс, 8 класс]</t>
  </si>
  <si>
    <t>КРАВЦОВА</t>
  </si>
  <si>
    <t>СВЕТЛАНА</t>
  </si>
  <si>
    <t>данного района, города данной области</t>
  </si>
  <si>
    <t>РУДЧЕНКО</t>
  </si>
  <si>
    <t>ТАИСИЯ</t>
  </si>
  <si>
    <t>АЛЕКСЕЕВНА</t>
  </si>
  <si>
    <t>Мордва</t>
  </si>
  <si>
    <t>БАЙЖАНОВ</t>
  </si>
  <si>
    <t>НУРСУЛТАН</t>
  </si>
  <si>
    <t>БОРИСОВИЧ</t>
  </si>
  <si>
    <t>мужской</t>
  </si>
  <si>
    <t>рядовой</t>
  </si>
  <si>
    <t>перешел на учительскую работу из других учреждений, организаций, не педагогов</t>
  </si>
  <si>
    <t>педагог-организатор начальной военной и технологической подготовки</t>
  </si>
  <si>
    <t>НВП</t>
  </si>
  <si>
    <t>Физическая культура</t>
  </si>
  <si>
    <t>Личный</t>
  </si>
  <si>
    <t>АО НЦПК «Өрлеу» (Региональные филиалы АО  НЦПК«Өрлеу»), Другие организации , АО НЦПК «Өрлеу» (Региональные филиалы АО  НЦПК«Өрлеу»), Другие организации , АО НЦПК «Өрлеу» (Региональные филиалы АО  НЦПК«Өрлеу»)</t>
  </si>
  <si>
    <t>НВП, Физическая культура, НВП, Физическая культура, НВП</t>
  </si>
  <si>
    <t>Предметные курсы/предмет, Инклюзивное образование, Предметные курсы/предмет, Предметные курсы/предмет, Предметные курсы/предмет</t>
  </si>
  <si>
    <t>русский, казахский, казахский, казахский, русский</t>
  </si>
  <si>
    <t>72, 120, 80, 80, 80</t>
  </si>
  <si>
    <t>2019-02-20T00:00:00, 2019-10-28T00:00:00, 2022-04-25T00:00:00, 2021-09-17T00:00:00, 2020-02-21T00:00:00</t>
  </si>
  <si>
    <t>2019-03-04T00:00:00, 2019-11-12T00:00:00, 2022-05-06T00:00:00, 2021-10-01T00:00:00, 2020-03-06T00:00:00</t>
  </si>
  <si>
    <t>00235, нет, 04839004, 00001328, 0324894</t>
  </si>
  <si>
    <t>[10 класс, 11 класс, 9 класс]</t>
  </si>
  <si>
    <t>ЕСЛЯМОВА</t>
  </si>
  <si>
    <t>АЙЛАНА</t>
  </si>
  <si>
    <t>КАЙРАТОВНА</t>
  </si>
  <si>
    <t>Музыка</t>
  </si>
  <si>
    <t>Предметные курсы/предмет</t>
  </si>
  <si>
    <t>дистанционная</t>
  </si>
  <si>
    <t>русский</t>
  </si>
  <si>
    <t>2020-06-12T00:00:00</t>
  </si>
  <si>
    <t>2020-06-26T00:00:00</t>
  </si>
  <si>
    <t>[1 класс, 3 класс, 5 класс, 2 класс, 4 класс, 6 класс, 7 класс]</t>
  </si>
  <si>
    <t>МЕИРМАНОВА</t>
  </si>
  <si>
    <t>АО НЦПК «Өрлеу» (Региональные филиалы АО  НЦПК«Өрлеу»), АО НЦПК «Өрлеу» (Региональные филиалы АО  НЦПК«Өрлеу»), АО НЦПК «Өрлеу» (Региональные филиалы АО  НЦПК«Өрлеу»), АО НЦПК «Өрлеу» (Региональные филиалы АО  НЦПК«Өрлеу»)</t>
  </si>
  <si>
    <t>Русский язык и литература, Русский язык и литература, Предметно-практическая деятельность, Русский язык и литература</t>
  </si>
  <si>
    <t>В рамках обновления содержания среднего образования, В рамках обновления содержания среднего образования, Информационно-коммуникационные технологии (ИКТ), Предметные курсы/предмет</t>
  </si>
  <si>
    <t>108, 108, 72, 80</t>
  </si>
  <si>
    <t>2017-06-05T00:00:00, 2019-08-05T00:00:00, 2017-03-06T00:00:00, 2022-10-07T00:00:00</t>
  </si>
  <si>
    <t>2017-06-23T00:00:00, 2019-08-29T00:00:00, 2017-03-17T00:00:00, 2022-10-21T00:00:00</t>
  </si>
  <si>
    <t>0048562, 00038956, 111228, 0536349</t>
  </si>
  <si>
    <t>[5 класс, 8 класс, 10 класс]</t>
  </si>
  <si>
    <t>ГУСЕВА</t>
  </si>
  <si>
    <t>ЛЮБОВЬ</t>
  </si>
  <si>
    <t>вахтер (на каждое здание)</t>
  </si>
  <si>
    <t>АЛГЕЛДІҚЫЗЫ</t>
  </si>
  <si>
    <t>ӘЛИЯ</t>
  </si>
  <si>
    <t>Не проходил(а)</t>
  </si>
  <si>
    <t>[1 класс, 2 класс, 3 класс, 4 класс, 5 класс, 6 класс]</t>
  </si>
  <si>
    <t>АСТРАХАНЦЕВА</t>
  </si>
  <si>
    <t>ВАЛЕРЬЕВНА</t>
  </si>
  <si>
    <t>из другого  колледжа</t>
  </si>
  <si>
    <t>Химия</t>
  </si>
  <si>
    <t>АО НЦПК «Өрлеу» (Региональные филиалы АО  НЦПК«Өрлеу»), НЕКОММЕРЧЕСКОЕ АКЦИОНЕРНОЕ ОБЩЕСТВО "TALAP", АО НЦПК «Өрлеу» (Региональные филиалы АО  НЦПК«Өрлеу»), Другие организации , НЕКОММЕРЧЕСКОЕ АКЦИОНЕРНОЕ ОБЩЕСТВО "TALAP", Центр педагогического мастерства АОО «НИШ», Другие организации</t>
  </si>
  <si>
    <t>Биология, другие, Химия, другие, другие, Химия, Химия</t>
  </si>
  <si>
    <t>Модульно-компетентностный подход, Модульно-компетентностный подход, Информационно-коммуникационные технологии (ИКТ), Социально-педагогическое сопровождение, Внедрение IT-технологий в образовательный процесс, Обновленные и специальные образовательные программы технического и профессионального образования, Инклюзивное образование</t>
  </si>
  <si>
    <t>очная, очная, очная, очная, дистанционная, дистанционная, очная</t>
  </si>
  <si>
    <t>72, 72, 72, 24, 36, 80, 72</t>
  </si>
  <si>
    <t>2014-11-24T00:00:00, 2018-05-14T00:00:00, 2018-10-15T16:01:00, 2020-06-08T00:00:00, 2020-07-30T00:00:00, 2020-08-10T00:00:00, 2022-12-19T00:00:00</t>
  </si>
  <si>
    <t>2014-12-05T00:00:00, 2018-05-25T00:00:00, 2018-10-26T16:01:00, 2020-06-10T00:00:00, 2020-08-05T00:00:00, 2020-08-21T00:00:00, 2023-01-06T00:00:00</t>
  </si>
  <si>
    <t>0013711, 50, 00034516, С20200002951, 00175, 000197, 094509</t>
  </si>
  <si>
    <t>[7 класс, 8 класс, 10 класс, 9 класс, 11 класс, 5 класс]</t>
  </si>
  <si>
    <t>ИКРАМБЕК</t>
  </si>
  <si>
    <t>АМАНЖОЛ</t>
  </si>
  <si>
    <t>Курсы по обновленным программам, АО НЦПК «Өрлеу» (Региональные филиалы АО  НЦПК«Өрлеу»), Другие организации , Другие организации , АО НЦПК «Өрлеу» (Региональные филиалы АО  НЦПК«Өрлеу»), АО НЦПК «Өрлеу» (Региональные филиалы АО  НЦПК«Өрлеу»)</t>
  </si>
  <si>
    <t>История, История, другие, История, История, История</t>
  </si>
  <si>
    <t>Предметные курсы/предмет, Использование цифровых ресурсов в преподавании предметов, Другие программы, Инклюзивное образование, Предметные курсы/предмет, Другие программы</t>
  </si>
  <si>
    <t>дистанционная, очная, очная, очная, очная, очная</t>
  </si>
  <si>
    <t>80, 8, 72, 72, 80, 24</t>
  </si>
  <si>
    <t>2021-06-28T00:00:00, 2021-08-24T00:00:00, 2023-07-10T00:00:00, 2023-08-07T00:00:00, 2023-09-04T00:00:00, 2023-09-04T00:00:00</t>
  </si>
  <si>
    <t>2021-07-12T00:00:00, 2021-08-24T00:00:00, 2023-07-27T00:00:00, 2023-08-25T00:00:00, 2023-09-15T00:00:00, 2023-09-09T00:00:00</t>
  </si>
  <si>
    <t>142с18571, 11475, 095212, 095210, 0637753, 135178</t>
  </si>
  <si>
    <t>[6 класс, 8 класс, 10 класс, 5 класс, 7 класс, 9 класс]</t>
  </si>
  <si>
    <t>ЖУВАРОВА</t>
  </si>
  <si>
    <t>ГУЛЬМИРА</t>
  </si>
  <si>
    <t>ЖАМАНТАЙКЫЗЫ</t>
  </si>
  <si>
    <t>АО НЦПК «Өрлеу» (Региональные филиалы АО  НЦПК«Өрлеу»), АО НЦПК «Өрлеу» (Региональные филиалы АО  НЦПК«Өрлеу»), Центр педагогического мастерства АОО «НИШ», АО НЦПК «Өрлеу» (Региональные филиалы АО  НЦПК«Өрлеу»), Другие организации</t>
  </si>
  <si>
    <t>начальное обучение, Казахский язык и литература, Казахский язык и литература, Казахский язык и литература, Казахский язык и литература</t>
  </si>
  <si>
    <t>В рамках обновления содержания среднего образования, В рамках обновленного содержания образования/ предмет, В рамках обновленного содержания образования/ предмет, Использование цифровых ресурсов в преподавании предметов, Другие программы</t>
  </si>
  <si>
    <t>очная, очная, очная, очная, дистанционная</t>
  </si>
  <si>
    <t>казахский, казахский, казахский, казахский, русский</t>
  </si>
  <si>
    <t>120, 160, 120, 8, 24</t>
  </si>
  <si>
    <t>2016-05-02T00:00:00, 2016-05-18T00:00:00, 2018-08-02T00:00:00, 2021-08-24T00:00:00, 2023-10-15T00:00:00</t>
  </si>
  <si>
    <t>2016-05-20T00:00:00, 2016-06-10T00:00:00, 2018-08-25T00:00:00, 2021-08-24T00:00:00, 2023-10-18T00:00:00</t>
  </si>
  <si>
    <t>0066037, 0066037, БЖ № 034736, 13078, C20230007976</t>
  </si>
  <si>
    <t>[6 класс, 8 класс, 4 класс]</t>
  </si>
  <si>
    <t>КАБЫЛБАЕВ</t>
  </si>
  <si>
    <t>КАЙРАТ</t>
  </si>
  <si>
    <t>МАРАТОВИЧ</t>
  </si>
  <si>
    <t>высшая категория</t>
  </si>
  <si>
    <t>Подтверждено в 2020 году</t>
  </si>
  <si>
    <t>АО НЦПК «Өрлеу» (Региональные филиалы АО  НЦПК«Өрлеу»), Другие организации , Другие организации , Другие организации , НЕКОММЕРЧЕСКОЕ АКЦИОНЕРНОЕ ОБЩЕСТВО "TALAP"</t>
  </si>
  <si>
    <t>Физическая культура, другие, Физическая культура, Физическая культура, Физическая культура</t>
  </si>
  <si>
    <t>Спортивному направлению, Другие программы, Предметные курсы/предмет, Другие программы, Другие программы</t>
  </si>
  <si>
    <t>очная, дистанционная, очная, очная, дистанционная</t>
  </si>
  <si>
    <t>72, 72, 72, 36, 36</t>
  </si>
  <si>
    <t>2014-05-12T00:00:00, 2019-05-27T00:00:00, 2019-05-15T00:00:00, 2020-08-07T00:00:00, 2020-07-19T00:00:00</t>
  </si>
  <si>
    <t>2014-05-23T00:00:00, 2019-06-05T00:00:00, 2019-06-05T00:00:00, 2020-08-14T00:00:00, 2020-07-26T00:00:00</t>
  </si>
  <si>
    <t>0021005, 200033, 200033, 08624, 16040</t>
  </si>
  <si>
    <t>[5 класс, 7 класс, 8 класс, 10 класс, 11 класс]</t>
  </si>
  <si>
    <t>КАЗИЕВА</t>
  </si>
  <si>
    <t>ШИНАР</t>
  </si>
  <si>
    <t>учитель-дефектолог</t>
  </si>
  <si>
    <t>Другие организации , Другие организации , Другие организации , Курсы по обновленным программам, Другие организации высшего и послевузовского образования</t>
  </si>
  <si>
    <t>Коррекция недостатков развития речи, Развитие психомоторики и сенсорных процессов, Логопедия, начальное обучение, начальное обучение</t>
  </si>
  <si>
    <t>Для педагогических работников в системе специального и инклюзивного образования, Для педагогов в системе специального и инклюзивного образования, Для педагогов в системе специального и инклюзивного образования, Инклюзивное образование, Предметные курсы/предмет</t>
  </si>
  <si>
    <t>очная, очная, очная, дистанционная, очная</t>
  </si>
  <si>
    <t>72, 48, 72, 120, 72</t>
  </si>
  <si>
    <t>2019-07-20T00:00:00, 2019-06-04T00:00:00, 2019-10-07T00:00:00, 2022-06-26T00:00:00, 2022-12-26T00:00:00</t>
  </si>
  <si>
    <t>2019-07-21T00:00:00, 2019-07-05T00:00:00, 2019-10-21T00:00:00, 2022-07-26T00:00:00, 2023-01-06T00:00:00</t>
  </si>
  <si>
    <t>113294, 001, 408, 2ec187F97, 2491</t>
  </si>
  <si>
    <t>МУРАТ</t>
  </si>
  <si>
    <t>АЯНУР</t>
  </si>
  <si>
    <t>педагог группы/класса предшкольной подготовки</t>
  </si>
  <si>
    <t>Другие организации , АО НЦПК «Өрлеу» (Региональные филиалы АО  НЦПК«Өрлеу»), АО НЦПК «Өрлеу» (Региональные филиалы АО  НЦПК«Өрлеу»), Курсы по обновленным программам</t>
  </si>
  <si>
    <t>Учебно-воспитательный процесс, Использование цифровых ресурсов в преподавании предметов, Предметные курсы/предмет, Предметные курсы/предмет</t>
  </si>
  <si>
    <t>очная, очная, дистанционная, дистанционная</t>
  </si>
  <si>
    <t>24, 8, 80, 80</t>
  </si>
  <si>
    <t>2018-09-10T00:00:00, 2021-09-07T00:00:00, 2021-06-15T00:00:00, 2021-07-13T00:00:00</t>
  </si>
  <si>
    <t>2018-09-12T00:00:00, 2021-09-07T00:00:00, 2021-07-02T00:00:00, 2021-07-27T00:00:00</t>
  </si>
  <si>
    <t>009276, 38158, 0405416, 159d4fbf7</t>
  </si>
  <si>
    <t>[0 класс]</t>
  </si>
  <si>
    <t>ТКАЧЕНКО</t>
  </si>
  <si>
    <t>ДАВЫДОВНА</t>
  </si>
  <si>
    <t>Немцы</t>
  </si>
  <si>
    <t>Центр педагогического мастерства АОО «НИШ»</t>
  </si>
  <si>
    <t>В рамках обновленного содержания образования/ предмет</t>
  </si>
  <si>
    <t>2017-05-29T00:00:00</t>
  </si>
  <si>
    <t>2017-06-16T00:00:00</t>
  </si>
  <si>
    <t>№009024</t>
  </si>
  <si>
    <t>КАКЕНОВА</t>
  </si>
  <si>
    <t>САБИНА</t>
  </si>
  <si>
    <t>БАУРЖАНОВНА</t>
  </si>
  <si>
    <t>начальное обучение, начальное обучение, начальное обучение</t>
  </si>
  <si>
    <t>Предметные курсы/предмет, Инклюзивное образование, Предметные курсы/предмет</t>
  </si>
  <si>
    <t>120, 72, 72</t>
  </si>
  <si>
    <t>2017-03-15T00:00:00, 2022-12-19T00:00:00, 2022-12-26T00:00:00</t>
  </si>
  <si>
    <t>2017-04-04T00:00:00, 2023-01-06T00:00:00, 2023-02-06T00:00:00</t>
  </si>
  <si>
    <t>012296, 094522, 094379</t>
  </si>
  <si>
    <t>БАТТАЛОВ</t>
  </si>
  <si>
    <t>МУБАРАКОВИЧ</t>
  </si>
  <si>
    <t>АО НЦПК «Өрлеу» (Региональные филиалы АО  НЦПК«Өрлеу»), Центр педагогического мастерства АОО «НИШ», АО НЦПК «Өрлеу» (Региональные филиалы АО  НЦПК«Өрлеу»), Центр педагогического мастерства АОО «НИШ», Центр педагогического мастерства АОО «НИШ», НЕКОММЕРЧЕСКОЕ АКЦИОНЕРНОЕ ОБЩЕСТВО "TALAP", НЕКОММЕРЧЕСКОЕ АКЦИОНЕРНОЕ ОБЩЕСТВО "TALAP", НЕКОММЕРЧЕСКОЕ АКЦИОНЕРНОЕ ОБЩЕСТВО "TALAP", Другие организации , НЕКОММЕРЧЕСКОЕ АКЦИОНЕРНОЕ ОБЩЕСТВО "TALAP", НЕКОММЕРЧЕСКОЕ АКЦИОНЕРНОЕ ОБЩЕСТВО "TALAP", АО НЦПК «Өрлеу» (Региональные филиалы АО  НЦПК«Өрлеу»)</t>
  </si>
  <si>
    <t>Физика/Астрономия , Физика/Астрономия , Физика/Астрономия , Физика/Астрономия , Физика/Астрономия , другие, другие, Математика/алгебра/геометрия, другие, Физика/Астрономия , Физика/Астрономия , Физика/Астрономия</t>
  </si>
  <si>
    <t>Другие программы, Другие программы, Другие программы, Другие программы, В рамках обновления содержания среднего образования, Внедрение IT-технологий в образовательный процесс, Инновационные методы обучения , Информационно-коммуникационные технологии (ИКТ), Инклюзивное образование, Информационно-коммуникационные технологии (ИКТ), Информационно-коммуникационные технологии (ИКТ), Другие программы</t>
  </si>
  <si>
    <t>очная, очная, очная, дистанционная, дистанционная, дистанционная, дистанционная, дистанционная, очная, дистанционная, дистанционная, дистанционная</t>
  </si>
  <si>
    <t>русский, русский, русский, русский, русский, русский, русский, русский, русский, русский, русский, русский</t>
  </si>
  <si>
    <t>72, 40, 8, 56, 80, 36, 36, 36, 72, 36, 36, 160</t>
  </si>
  <si>
    <t>2015-03-30T00:00:00, 2017-06-26T10:21:00, 2017-05-28T00:00:00, 2020-07-23T10:29:00, 2020-08-10T10:31:00, 2020-08-02T10:33:00, 2020-07-22T10:34:00, 2020-07-10T10:34:00, 2022-07-11T00:00:00, 2020-07-30T00:00:00, 2020-07-14T00:00:00, 2023-07-02T00:00:00</t>
  </si>
  <si>
    <t>2015-04-10T00:00:00, 2017-06-30T00:00:00, 2017-06-04T00:00:00, 2020-07-28T10:29:00, 2020-08-21T10:31:00, 2020-08-06T10:33:00, 2020-07-27T10:34:00, 2020-07-16T10:34:00, 2022-07-29T00:00:00, 2020-08-06T00:00:00, 2020-07-21T00:00:00, 2023-08-02T00:00:00</t>
  </si>
  <si>
    <t>0016053, 039081, 0000547, 2450db54, 000248, 01084, 15081, 14430, 093786, 01084, 15081, 011747</t>
  </si>
  <si>
    <t>[5 класс, 10 класс, 11 класс, 7 класс, 8 класс, 9 класс]</t>
  </si>
  <si>
    <t>СКОСЫРСКАЯ</t>
  </si>
  <si>
    <t>МАРИНА</t>
  </si>
  <si>
    <t>[0 класс, 2 класс]</t>
  </si>
  <si>
    <t>ТУРИМОВА</t>
  </si>
  <si>
    <t>ЛАРИСА</t>
  </si>
  <si>
    <t>ДЖАНИЗАКОВНА</t>
  </si>
  <si>
    <t>УЗБЕКИСТАН</t>
  </si>
  <si>
    <t>Каракалпаки</t>
  </si>
  <si>
    <t>НУРБАЕВА</t>
  </si>
  <si>
    <t>ИНАБАТ</t>
  </si>
  <si>
    <t>БАУЫРЖАНОВНА</t>
  </si>
  <si>
    <t>[1 класс, 2 класс, 3 класс, 4 класс, 5 класс, 6 класс, 7 класс, 8 класс, 10 класс]</t>
  </si>
  <si>
    <t>БЕСЕМБАЕВА</t>
  </si>
  <si>
    <t>ЕВА</t>
  </si>
  <si>
    <t>НУРБОЛОВНА</t>
  </si>
  <si>
    <t>Другие организации</t>
  </si>
  <si>
    <t>Инклюзивное образование</t>
  </si>
  <si>
    <t>2022-12-19T00:00:00</t>
  </si>
  <si>
    <t>2023-01-06T00:00:00</t>
  </si>
  <si>
    <t>[5 класс, 6 класс, 3 класс]</t>
  </si>
  <si>
    <t>РАМАЗАНОВА</t>
  </si>
  <si>
    <t>ДИАНА</t>
  </si>
  <si>
    <t>НУРШАТКЫЗЫ</t>
  </si>
  <si>
    <t>[7 класс, 8 класс, 9 класс, 6 класс]</t>
  </si>
  <si>
    <t>БУЛАНБАЕВА</t>
  </si>
  <si>
    <t>АЖАР</t>
  </si>
  <si>
    <t>СЕРІКҚЫЗЫ</t>
  </si>
  <si>
    <t>Обновленное содержание обучения</t>
  </si>
  <si>
    <t>2019-01-14T00:00:00</t>
  </si>
  <si>
    <t>2019-02-04T00:00:00</t>
  </si>
  <si>
    <t>[3 класс, 4 класс, 9 класс, 7 класс, 5 класс]</t>
  </si>
  <si>
    <t>КУРУМБАЕВА</t>
  </si>
  <si>
    <t>АСЕМГУЛЬ</t>
  </si>
  <si>
    <t>СЕИЛХАНОВНА</t>
  </si>
  <si>
    <t>АО НЦПК «Өрлеу» (Региональные филиалы АО  НЦПК«Өрлеу»), Другие организации высшего и послевузовского образования, АО НЦПК «Өрлеу» (Региональные филиалы АО  НЦПК«Өрлеу»), Центр педагогического мастерства АОО «НИШ», АО НЦПК «Өрлеу» (Региональные филиалы АО  НЦПК«Өрлеу»), АО НЦПК «Өрлеу» (Региональные филиалы АО  НЦПК«Өрлеу»), Центр педагогического мастерства АОО «НИШ»</t>
  </si>
  <si>
    <t>начальное обучение, другие, Самопознание, другие, начальное обучение, начальное обучение, начальное обучение</t>
  </si>
  <si>
    <t>Предметные курсы/предмет, Воспитательный процесс, Предметные курсы/предмет, Инновационные методы обучения , В рамках обновленного содержания образования/ предмет, Учебно-воспитательный процесс, Учебно-воспитательный процесс</t>
  </si>
  <si>
    <t>очная, дистанционная, дистанционная, дистанционная, дистанционная, дистанционная, дистанционная</t>
  </si>
  <si>
    <t>120, 52, 72, 40, 120, 40, 80</t>
  </si>
  <si>
    <t>2016-05-16T00:00:00, 2019-09-02T00:00:00, 2020-05-25T00:00:00, 2020-08-04T00:00:00, 2020-07-08T00:00:00, 2020-10-25T00:00:00, 2021-02-12T00:00:00</t>
  </si>
  <si>
    <t>2016-06-10T00:00:00, 2019-10-10T00:00:00, 2020-06-05T00:00:00, 2020-08-09T00:00:00, 2020-09-02T00:00:00, 2020-11-07T00:00:00, 2021-02-26T00:00:00</t>
  </si>
  <si>
    <t>0066042, 276, 0338890, 581177, 052881, 6483519, а09925b9</t>
  </si>
  <si>
    <t>БАКЫТ</t>
  </si>
  <si>
    <t>АЯУЛЫМ</t>
  </si>
  <si>
    <t>АМАНЖОЛКЫЗЫ</t>
  </si>
  <si>
    <t>[9 класс, 7 класс, 8 класс, 6 класс]</t>
  </si>
  <si>
    <t>КАУШЕВА</t>
  </si>
  <si>
    <t>САНДУГАШ</t>
  </si>
  <si>
    <t>ОЛЖАБАЕВНА</t>
  </si>
  <si>
    <t>первая категория</t>
  </si>
  <si>
    <t>Подтверждено в 2021 году</t>
  </si>
  <si>
    <t>Математика/алгебра/геометрия, Математика/алгебра/геометрия, Математика/алгебра/геометрия</t>
  </si>
  <si>
    <t>Предметные курсы/предмет, Предметные курсы/предмет, Инклюзивное образование</t>
  </si>
  <si>
    <t>2015-09-18T00:00:00, 2016-10-28T00:00:00, 2022-12-19T00:00:00</t>
  </si>
  <si>
    <t>2015-10-02T00:00:00, 2016-11-12T00:00:00, 2023-12-06T00:00:00</t>
  </si>
  <si>
    <t>0054858, 0054874, 094525</t>
  </si>
  <si>
    <t>[5 класс, 9 класс, 10 класс, 6 класс, 7 класс, 8 класс]</t>
  </si>
  <si>
    <t>АМИРГОЖИНА</t>
  </si>
  <si>
    <t>АРАЙЛЫМ</t>
  </si>
  <si>
    <t>ЖОМАРТҚЫЗЫ</t>
  </si>
  <si>
    <t>Психология</t>
  </si>
  <si>
    <t>Психологическое сопровождение</t>
  </si>
  <si>
    <t>2018-09-03T00:00:00</t>
  </si>
  <si>
    <t>2018-09-07T00:00:00</t>
  </si>
  <si>
    <t>РАХМЕТУЛЛИНА</t>
  </si>
  <si>
    <t>ГУЛЬНАР</t>
  </si>
  <si>
    <t>Другие организации , АО НЦПК «Өрлеу» (Региональные филиалы АО  НЦПК«Өрлеу»), АО НЦПК «Өрлеу» (Региональные филиалы АО  НЦПК«Өрлеу»)</t>
  </si>
  <si>
    <t>История, История, История</t>
  </si>
  <si>
    <t>Инклюзивное образование, Предметные курсы/предмет, Предметные курсы/предмет</t>
  </si>
  <si>
    <t>дистанционная, очная, очная</t>
  </si>
  <si>
    <t>русский, казахский, казахский</t>
  </si>
  <si>
    <t>72, 80, 24</t>
  </si>
  <si>
    <t>2023-04-03T00:00:00, 2020-09-04T00:00:00, 2023-09-06T00:00:00</t>
  </si>
  <si>
    <t>2023-04-27T00:00:00, 2023-09-15T00:00:00, 2023-09-09T00:00:00</t>
  </si>
  <si>
    <t>094855, 0637762, 135185</t>
  </si>
  <si>
    <t>[5 класс, 6 класс, 8 класс, 7 класс]</t>
  </si>
  <si>
    <t>ГУРНЫЙ</t>
  </si>
  <si>
    <t>АЛЕКСАНДР</t>
  </si>
  <si>
    <t>ПЕТРОВИЧ</t>
  </si>
  <si>
    <t>РОССИЯ</t>
  </si>
  <si>
    <t>определенный</t>
  </si>
  <si>
    <t>IT специалист</t>
  </si>
  <si>
    <t>внешнее совмещение</t>
  </si>
  <si>
    <t>Высшее (профессиональное)</t>
  </si>
  <si>
    <t>САДВОКАСОВА</t>
  </si>
  <si>
    <t>АЛМА</t>
  </si>
  <si>
    <t>СЕРИКОВНА</t>
  </si>
  <si>
    <t>секретарь</t>
  </si>
  <si>
    <t>делопроизводитель</t>
  </si>
  <si>
    <t>САЙФУЛЛИН</t>
  </si>
  <si>
    <t>АЙТОЛҚЫН</t>
  </si>
  <si>
    <t>не владеет английским языком</t>
  </si>
  <si>
    <t>КАРИБУЛЛИН</t>
  </si>
  <si>
    <t>ФАРИТ</t>
  </si>
  <si>
    <t>ГАЛИМОВИЧ</t>
  </si>
  <si>
    <t>Татары</t>
  </si>
  <si>
    <t>Художественный труд , Художественный труд</t>
  </si>
  <si>
    <t>40, 120</t>
  </si>
  <si>
    <t>2018-06-04T00:00:00, 2019-10-28T00:00:00</t>
  </si>
  <si>
    <t>2018-06-08T00:00:00, 2019-11-12T00:00:00</t>
  </si>
  <si>
    <t>000177, нет</t>
  </si>
  <si>
    <t>[5 класс, 6 класс, 7 класс, 9 класс, 8 класс]</t>
  </si>
  <si>
    <t>ХАВСАМЕТ</t>
  </si>
  <si>
    <t>НУРГАЙЫП</t>
  </si>
  <si>
    <t>Казахский язык и литература, Казахский язык и литература</t>
  </si>
  <si>
    <t>Предметные курсы/предмет, Инклюзивное образование</t>
  </si>
  <si>
    <t>казахский, казахский</t>
  </si>
  <si>
    <t>72, 72</t>
  </si>
  <si>
    <t>2023-06-27T00:00:00, 2022-12-19T00:00:00</t>
  </si>
  <si>
    <t>2023-07-04T00:00:00, 2023-01-06T00:00:00</t>
  </si>
  <si>
    <t>124488, 094537</t>
  </si>
  <si>
    <t>[5 класс, 9 класс, 3 класс]</t>
  </si>
  <si>
    <t>ПШЕНИЧНАЯ</t>
  </si>
  <si>
    <t>КСЕНИЯ</t>
  </si>
  <si>
    <t>АНДРЕЕВНА</t>
  </si>
  <si>
    <t>2019-10-28T00:00:00</t>
  </si>
  <si>
    <t>2019-11-12T00:00:00</t>
  </si>
  <si>
    <t>[9 класс, 8 класс, 7 класс]</t>
  </si>
  <si>
    <t>ХУАНЫШ</t>
  </si>
  <si>
    <t>ГУЛЗАДА</t>
  </si>
  <si>
    <t>АО НЦПК «Өрлеу» (Региональные филиалы АО  НЦПК«Өрлеу»), Центр педагогического мастерства АОО «НИШ», Центр педагогического мастерства АОО «НИШ», Другие организации , Другие организации , Другие организации , РГКП «Республиканский учебно-методический центр дополнительного образования» МОН РК, Другие организации , Другие организации , Другие организации , АО НЦПК «Өрлеу» (Региональные филиалы АО  НЦПК«Өрлеу»), АО НЦПК «Өрлеу» (Региональные филиалы АО  НЦПК«Өрлеу»), Центр педагогического мастерства АОО «НИШ», Другие организации , Другие организации , Другие организации , Другие организации</t>
  </si>
  <si>
    <t>начальное обучение, начальное обучение, начальное обучение, другие, начальное обучение, начальное обучение, Коррекция недостатков развития речи, Грамота (чтение, письмо, устная речь, дактильная речь), начальное обучение, начальное обучение, начальное обучение, начальное обучение, начальное обучение, начальное обучение, начальное обучение, начальное обучение, начальное обучение</t>
  </si>
  <si>
    <t>В рамках обновленного содержания образования/ предмет, Педагогическая компетентность: развитие и совершенствование, Другие программы, Другие программы, Инклюзивное образование, Инклюзивное образование, Другие программы, Другие программы, В рамках обновленного содержания образования/ предмет, В рамках обновленного содержания образования/ предмет, В рамках обновления содержания среднего образования, В рамках обновленного содержания образования/ предмет, Международные проекты в сфере образования (PISA, TALIS и др.), Инклюзивное образование, Предметные курсы/предмет, Информационно-коммуникационные технологии (ИКТ), Информационно-коммуникационные технологии (ИКТ)</t>
  </si>
  <si>
    <t>очная, очная, очная, очная, очная, очная, очная, очная, очная, очная, очная, очная, очная, очная, очная, дистанционная, дистанционная</t>
  </si>
  <si>
    <t>казахский, казахский, казахский, казахский, казахский, казахский, русский, казахский, казахский, казахский, казахский, казахский, казахский, казахский, казахский, русский, казахский</t>
  </si>
  <si>
    <t>120, 80, 40, 14, 14, 8, 8, 46, 1, 1, 80, 1, 5, 72, 72, 24, 72</t>
  </si>
  <si>
    <t>2016-05-16T00:00:00, 2021-06-28T00:00:00, 2020-08-03T00:00:00, 2021-10-11T00:00:00, 2022-02-07T00:00:00, 2022-10-28T00:00:00, 2022-09-11T00:00:00, 2017-10-02T00:00:00, 2017-03-02T00:00:00, 2018-12-13T00:00:00, 2022-04-04T00:00:00, 2022-04-15T00:00:00, 2022-11-14T00:00:00, 2022-12-19T00:00:00, 2023-07-17T00:00:00, 2023-10-15T00:00:00, 2023-02-03T00:00:00</t>
  </si>
  <si>
    <t>2016-06-03T00:00:00, 2021-07-12T00:00:00, 2020-08-10T00:00:00, 2021-10-11T00:00:00, 2022-02-10T00:00:00, 2022-10-28T00:00:00, 2022-09-11T00:00:00, 2017-10-13T00:00:00, 2017-03-02T00:00:00, 2018-12-13T00:00:00, 2022-04-15T00:00:00, 2022-04-15T00:00:00, 2022-11-14T00:00:00, 2023-01-06T00:00:00, 2023-08-07T00:00:00, 2023-10-18T00:00:00, 2023-03-03T00:00:00</t>
  </si>
  <si>
    <t>111111, 1416b969c, 591910, 21271254, 8083, 2022, 018519, 044125, 02032017, 2018, 0483279, 0186-22, 3813а6318, 094542, 095015, С20230007977, 259939</t>
  </si>
  <si>
    <t>ЫВРАЙ</t>
  </si>
  <si>
    <t>БОКЕНБАЙ</t>
  </si>
  <si>
    <t>плотник</t>
  </si>
  <si>
    <t>не имеется</t>
  </si>
  <si>
    <t>Физическая культура, Физическая культура, Физическая культура, Физическая культура</t>
  </si>
  <si>
    <t>Другие программы, Информационно-коммуникационные технологии (ИКТ), Инклюзивное образование, Педагогическая компетентность: развитие и совершенствование</t>
  </si>
  <si>
    <t>очная, очная, дистанционная, очная</t>
  </si>
  <si>
    <t>40, 40, 120, 80</t>
  </si>
  <si>
    <t>2019-06-10T12:58:00, 2019-06-15T00:00:00, 2019-10-28T13:58:00, 2022-11-14T00:00:00</t>
  </si>
  <si>
    <t>2019-06-14T12:58:00, 2019-06-30T00:00:00, 2019-11-20T13:58:00, 2022-11-25T00:00:00</t>
  </si>
  <si>
    <t>БЖ №014898, №001066, №425, № 00003542</t>
  </si>
  <si>
    <t>[6 класс, 5 класс, 7 класс, 8 класс, 9 класс]</t>
  </si>
  <si>
    <t>ЧЕРНОВ</t>
  </si>
  <si>
    <t>ОЛЕГ</t>
  </si>
  <si>
    <t>АЛЕКСАНДРОВИЧ</t>
  </si>
  <si>
    <t>электрик</t>
  </si>
  <si>
    <t>БАТТАЛОВА</t>
  </si>
  <si>
    <t>ЖАКИЯНОВНА</t>
  </si>
  <si>
    <t>заведующий библиотекой</t>
  </si>
  <si>
    <t>ЖАНЫБЕКОВ</t>
  </si>
  <si>
    <t>КАЗБЕК</t>
  </si>
  <si>
    <t>БЕКОВИЧ</t>
  </si>
  <si>
    <t>офицерский состав</t>
  </si>
  <si>
    <t>дворник</t>
  </si>
  <si>
    <t>АЙСЛУ</t>
  </si>
  <si>
    <t>НУРМУХАНБЕТОВНА</t>
  </si>
  <si>
    <t>АКЫЛБЕКОВА</t>
  </si>
  <si>
    <t>САУЛЕ</t>
  </si>
  <si>
    <t>МУХАМЕТАЛИКЫЗЫ</t>
  </si>
  <si>
    <t>заместитель директора по научно-методической работе</t>
  </si>
  <si>
    <t>Центр педагогического мастерства АОО «НИШ», АО НЦПК «Өрлеу» (Региональные филиалы АО  НЦПК«Өрлеу»), Другие организации , Центр педагогического мастерства АОО «НИШ», Центр педагогического мастерства АОО «НИШ», АО НЦПК «Өрлеу» (Региональные филиалы АО  НЦПК«Өрлеу»)</t>
  </si>
  <si>
    <t>начальное обучение, начальное обучение, начальное обучение, Казахский язык и литература, Казахский язык и литература, Казахский язык и литература</t>
  </si>
  <si>
    <t>В рамках обновленного содержания образования/ предмет, В рамках обновленного содержания образования/ предмет, Инклюзивное образование, Предметные курсы/предмет, Предметные курсы/предмет, Предметные курсы/предмет</t>
  </si>
  <si>
    <t>180, 160, 14, 160, 80, 8</t>
  </si>
  <si>
    <t>2015-06-01T00:00:00, 2020-08-02T00:00:00, 2022-02-11T00:00:00, 2019-07-12T00:00:00, 2021-04-13T00:00:00, 2021-08-24T00:00:00</t>
  </si>
  <si>
    <t>2015-07-03T00:00:00, 2020-09-02T00:00:00, 2022-02-11T00:00:00, 2019-07-16T00:00:00, 2021-04-23T00:00:00, 2021-08-24T00:00:00</t>
  </si>
  <si>
    <t>11111, 039768, 8278, 013463, 149041, 12404</t>
  </si>
  <si>
    <t>[10 класс, 5 класс, 6 класс, 7 класс, 8 класс]</t>
  </si>
  <si>
    <t>САДВАКАСОВА</t>
  </si>
  <si>
    <t>ОЛЬЖАБАЕВНА</t>
  </si>
  <si>
    <t>ИСМАНОВА</t>
  </si>
  <si>
    <t>ЖУМАЖАНОВНА</t>
  </si>
  <si>
    <t>главный бухгалтер</t>
  </si>
  <si>
    <t>бухгалтер</t>
  </si>
  <si>
    <t>АМАРКУЛОВА</t>
  </si>
  <si>
    <t>ОНЛАНКУЛЬ</t>
  </si>
  <si>
    <t>ЖОЛДАБЕКОВНА</t>
  </si>
  <si>
    <t>начальное обучение, Изобразительное искусство/черчение, Самопознание</t>
  </si>
  <si>
    <t>В рамках обновления содержания среднего образования, Обновленное содержание обучения, Другие программы</t>
  </si>
  <si>
    <t>очная, очная, дистанционная</t>
  </si>
  <si>
    <t>120, 40, 72</t>
  </si>
  <si>
    <t>2017-05-22T00:00:00, 2016-05-16T00:00:00, 2018-06-18T00:00:00</t>
  </si>
  <si>
    <t>2017-06-16T00:00:00, 2016-05-20T00:00:00, 2018-06-29T00:00:00</t>
  </si>
  <si>
    <t>БЖ № 012493, № 0065629, № 0900104</t>
  </si>
  <si>
    <t>АЯГАНОВ</t>
  </si>
  <si>
    <t>УСЕРБАЙ</t>
  </si>
  <si>
    <t>НУРГАЛИЕВИЧ</t>
  </si>
  <si>
    <t>[5 класс, 7 класс]</t>
  </si>
  <si>
    <t>ИМАНОВА</t>
  </si>
  <si>
    <t>УСЕНОВНА</t>
  </si>
  <si>
    <t>Педагогическая компетентность: развитие и совершенствование</t>
  </si>
  <si>
    <t>2023-09-04T00:00:00</t>
  </si>
  <si>
    <t>2023-09-16T00:00:00</t>
  </si>
  <si>
    <t>[8 класс, 9 класс, 10 класс]</t>
  </si>
  <si>
    <t>КАЙРКЕНОВА</t>
  </si>
  <si>
    <t>ГУЛЯ</t>
  </si>
  <si>
    <t>КАИРОЛЛОВНА</t>
  </si>
  <si>
    <t>Другие организации , АО НЦПК «Өрлеу» (Региональные филиалы АО  НЦПК«Өрлеу»), АО НЦПК «Өрлеу» (Региональные филиалы АО  НЦПК«Өрлеу»), АО НЦПК «Өрлеу» (Региональные филиалы АО  НЦПК«Өрлеу»), АО НЦПК «Өрлеу» (Региональные филиалы АО  НЦПК«Өрлеу»), АО НЦПК «Өрлеу» (Региональные филиалы АО  НЦПК«Өрлеу»), Другие организации</t>
  </si>
  <si>
    <t>Информатика , Русский язык и литература, Русский язык и литература, Русский язык и литература, Русский язык и литература, Русский язык и литература, другие</t>
  </si>
  <si>
    <t>Информационно-коммуникационные технологии (ИКТ), Предметные курсы/предмет, В рамках обновленного содержания образования/ предмет, Профессиональная компетентность , Инновационные методы обучения , Разработка и реализация образовательных программ, Инклюзивное образование</t>
  </si>
  <si>
    <t>очная, дистанционная, очная, дистанционная, дистанционная, дистанционная, очная</t>
  </si>
  <si>
    <t>72, 80, 160, 80, 40, 80, 120</t>
  </si>
  <si>
    <t>2007-07-02T13:53:00, 2020-05-04T13:56:00, 2017-11-20T14:26:00, 2020-05-12T12:25:00, 2020-08-10T16:56:00, 2021-06-29T00:00:00, 2022-07-11T00:00:00</t>
  </si>
  <si>
    <t>2007-07-15T13:53:00, 2020-05-22T13:56:00, 2017-12-27T14:26:00, 2020-05-22T12:25:00, 2020-08-15T16:56:00, 2021-07-14T00:00:00, 2022-07-29T00:00:00</t>
  </si>
  <si>
    <t>№0107562, №0338813, БЖ №002610, №0339302, №588299, БЖ № 000770, 093761</t>
  </si>
  <si>
    <t>[7 класс, 8 класс]</t>
  </si>
  <si>
    <t>АНАРА</t>
  </si>
  <si>
    <t>КАИРБЕКОВНА</t>
  </si>
  <si>
    <t>Музыка , Музыка , Музыка</t>
  </si>
  <si>
    <t>В рамках обновленного содержания образования/ предмет, Другие программы, Предметные курсы/предмет</t>
  </si>
  <si>
    <t>80, 80, 80</t>
  </si>
  <si>
    <t>2016-06-13T00:00:00, 2020-06-20T00:00:00, 2023-10-30T00:00:00</t>
  </si>
  <si>
    <t>2016-05-27T00:00:00, 2020-06-26T00:00:00, 2023-11-10T00:00:00</t>
  </si>
  <si>
    <t>0065813, 0372238, 0742015</t>
  </si>
  <si>
    <t>[3 класс, 2 класс]</t>
  </si>
  <si>
    <t>ШЕРМАГАНБЕТОВА</t>
  </si>
  <si>
    <t>САМАЛ</t>
  </si>
  <si>
    <t>ЗЕЙНУЛЛИНОВНА</t>
  </si>
  <si>
    <t>Присвоено в 2022 году</t>
  </si>
  <si>
    <t>другие, другие</t>
  </si>
  <si>
    <t>Учебно-воспитательный процесс, Инклюзивное образование</t>
  </si>
  <si>
    <t>дистанционная, дистанционная</t>
  </si>
  <si>
    <t>40, 80</t>
  </si>
  <si>
    <t>2020-08-10T00:00:00, 2024-01-03T00:00:00</t>
  </si>
  <si>
    <t>2020-08-15T00:00:00, 2024-01-17T00:00:00</t>
  </si>
  <si>
    <t>0, 010053</t>
  </si>
  <si>
    <t>для детей с нарушениями речи</t>
  </si>
  <si>
    <t>АБДУРАЗЗАКОВА</t>
  </si>
  <si>
    <t>ГУЛДАНА</t>
  </si>
  <si>
    <t>АБДУХАЛИКОВНА</t>
  </si>
  <si>
    <t>2023-03-30T00:00:00</t>
  </si>
  <si>
    <t>2023-06-30T00:00:00</t>
  </si>
  <si>
    <t>[6 класс, 5 класс, 7 класс, 8 класс, 9 класс, 10 класс]</t>
  </si>
  <si>
    <t>БИГЕЛДИЕВА</t>
  </si>
  <si>
    <t>ТАЛАПОВНА</t>
  </si>
  <si>
    <t>КАППАСОВА</t>
  </si>
  <si>
    <t>АНАР</t>
  </si>
  <si>
    <t>МУГАДИЛОВНА</t>
  </si>
  <si>
    <t>английский</t>
  </si>
  <si>
    <t>2021-03-01T00:00:00</t>
  </si>
  <si>
    <t>2021-03-19T00:00:00</t>
  </si>
  <si>
    <t>[8 класс, 7 класс, 5 класс]</t>
  </si>
  <si>
    <t>ШОВКАНЬ</t>
  </si>
  <si>
    <t>АННА</t>
  </si>
  <si>
    <t>ТЫЩЕНКО</t>
  </si>
  <si>
    <t>АНАСТАСИЯ</t>
  </si>
  <si>
    <t>старший вожатый</t>
  </si>
  <si>
    <t>другие</t>
  </si>
  <si>
    <t>Учебно-воспитательный процесс</t>
  </si>
  <si>
    <t>2023-10-02T00:00:00</t>
  </si>
  <si>
    <t>2023-10-13T00:00:00</t>
  </si>
  <si>
    <t>[7 класс, 8 класс, 9 класс, 10 класс, 11 класс]</t>
  </si>
  <si>
    <t>ЖУМАШЕВА</t>
  </si>
  <si>
    <t>ЛЯЗЗАТ</t>
  </si>
  <si>
    <t>ТУЛЕУОВНА</t>
  </si>
  <si>
    <t>НУРМАГАМБЕТОВА</t>
  </si>
  <si>
    <t>ДАЛЬМИРА</t>
  </si>
  <si>
    <t>НУРЛАНОВНА</t>
  </si>
  <si>
    <t>[3 класс, 4 класс, 5 класс, 6 класс]</t>
  </si>
  <si>
    <t>МУХАМЕДЖАРОВА</t>
  </si>
  <si>
    <t>БАЛТАБЕКОВНА</t>
  </si>
  <si>
    <t>2021-02-22T00:00:00</t>
  </si>
  <si>
    <t>2021-02-26T00:00:00</t>
  </si>
  <si>
    <t>№0404257</t>
  </si>
  <si>
    <t>[2 класс, 4 класс, 5 класс, 3 класс, 6 класс]</t>
  </si>
  <si>
    <t>АЛИМБАЕВА</t>
  </si>
  <si>
    <t>ЕВГЕНИЯ</t>
  </si>
  <si>
    <t>логопед</t>
  </si>
  <si>
    <t>Другие организации , Другие организации</t>
  </si>
  <si>
    <t>Инклюзивное образование, Инклюзивное образование</t>
  </si>
  <si>
    <t>120, 120</t>
  </si>
  <si>
    <t>2019-10-28T00:00:00, 2022-07-11T00:00:00</t>
  </si>
  <si>
    <t>2019-11-12T00:00:00, 2022-07-29T00:00:00</t>
  </si>
  <si>
    <t>113479, 093757</t>
  </si>
  <si>
    <t>АГЕЕВА</t>
  </si>
  <si>
    <t>НАТАЛЬЯ</t>
  </si>
  <si>
    <t>Областные, городские институты  повышения квалификации</t>
  </si>
  <si>
    <t>БАЛНУР</t>
  </si>
  <si>
    <t>МАЙРАМБЕКҚЫЗЫ</t>
  </si>
  <si>
    <t>лаборант</t>
  </si>
  <si>
    <t>ИСМАГУЛОВА</t>
  </si>
  <si>
    <t>РАЙХАН</t>
  </si>
  <si>
    <t>ДАУЛЕТХАНОВНА</t>
  </si>
  <si>
    <t>заместитель заведующего по хозяйственной части</t>
  </si>
  <si>
    <t>КАИРГЕЛЬДИНОВНА</t>
  </si>
  <si>
    <t>сержант</t>
  </si>
  <si>
    <t>заведующий хозяйством</t>
  </si>
  <si>
    <t>ЭЛЬШАЙДТ</t>
  </si>
  <si>
    <t>ЮЛИЯ</t>
  </si>
  <si>
    <t>САЙ-МАГАМЕТОВНА</t>
  </si>
  <si>
    <t>РУСТЕМОВА</t>
  </si>
  <si>
    <t>ЖАЗИРА</t>
  </si>
  <si>
    <t>КУАНЫШОВНА</t>
  </si>
  <si>
    <t>РАХИМЖАНОВА</t>
  </si>
  <si>
    <t>КЫМБАТ</t>
  </si>
  <si>
    <t>СОВЕТОВНА</t>
  </si>
  <si>
    <t>АО НЦПК «Өрлеу» (Региональные филиалы АО  НЦПК«Өрлеу»), АО НЦПК «Өрлеу» (Региональные филиалы АО  НЦПК«Өрлеу»), Центр педагогического мастерства АОО «НИШ», Центр педагогического мастерства АОО «НИШ»</t>
  </si>
  <si>
    <t>География, География, География, другие</t>
  </si>
  <si>
    <t>В рамках обновленного содержания образования/ предмет, Информационно-коммуникационные технологии (ИКТ), Педагогическая компетентность: развитие и совершенствование, Для руководителей школ</t>
  </si>
  <si>
    <t>очная, дистанционная, смешанная, очная</t>
  </si>
  <si>
    <t>80, 80, 160, 640</t>
  </si>
  <si>
    <t>2018-06-18T00:00:00, 2021-09-06T00:00:00, 2022-07-18T00:00:00, 2018-07-02T00:00:00</t>
  </si>
  <si>
    <t>2018-06-29T00:00:00, 2021-09-17T00:00:00, 2022-08-12T00:00:00, 2019-05-17T00:00:00</t>
  </si>
  <si>
    <t>БЖ№005864, №142647, 33ae5ee83, D№000558</t>
  </si>
  <si>
    <t>[8 класс, 7 класс, 9 класс]</t>
  </si>
  <si>
    <t>КАИРБЕКОВ</t>
  </si>
  <si>
    <t>АМАНГЕЛЬДЫ</t>
  </si>
  <si>
    <t>ШАКЕНОВИЧ</t>
  </si>
  <si>
    <t>Физическая культура, Физическая культура</t>
  </si>
  <si>
    <t>В рамках обновленного содержания образования/ предмет, Предметные курсы/предмет</t>
  </si>
  <si>
    <t>2019-06-03T00:00:00, 2021-01-15T00:00:00</t>
  </si>
  <si>
    <t>2019-06-07T00:00:00, 2021-01-29T00:00:00</t>
  </si>
  <si>
    <t>014982, 0403817</t>
  </si>
  <si>
    <t>[3 класс, 4 класс, 9 класс]</t>
  </si>
  <si>
    <t>ШАХМЕТОВ</t>
  </si>
  <si>
    <t>БАЛАБЕК</t>
  </si>
  <si>
    <t>2018-06-04T00:00:00</t>
  </si>
  <si>
    <t>2018-06-13T00:00:00</t>
  </si>
  <si>
    <t>[10 класс, 11 класс]</t>
  </si>
  <si>
    <t>КАБДУАЛИЕВА</t>
  </si>
  <si>
    <t>МИРАМГУЛЬ</t>
  </si>
  <si>
    <t>ТЕНИСОВНА</t>
  </si>
  <si>
    <t>КАМИДОЛЛАЕВНА</t>
  </si>
  <si>
    <t>педагог-ассистент</t>
  </si>
  <si>
    <t>КАИРБАЕВА</t>
  </si>
  <si>
    <t>АРДАК</t>
  </si>
  <si>
    <t>СУЛТАНОВНА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</si>
</sst>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charset val="204"/>
      <scheme val="minor"/>
    </font>
    <font>
      <sz val="11"/>
      <color theme="1"/>
      <name val="Calibri"/>
      <family val="2"/>
      <charset val="204"/>
      <scheme val="minor"/>
    </font>
    <font>
      <sz val="18"/>
      <color theme="3"/>
      <name val="Calibri Light"/>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
    <xf numFmtId="0" fontId="0" fillId="0" borderId="0" xfId="0"/>
    <xf numFmtId="14" fontId="0" fillId="0" borderId="0" xfId="0" applyNumberFormat="1"/>
    <xf numFmtId="16" fontId="0" fillId="0" borderId="0" xfId="0" applyNumberFormat="1"/>
  </cellXfs>
  <cellStyles count="42">
    <cellStyle name="20% — акцент1" xfId="19" builtinId="30" customBuiltin="1"/>
    <cellStyle name="20% — акцент2" xfId="23" builtinId="34" customBuiltin="1"/>
    <cellStyle name="20% — акцент3" xfId="27" builtinId="38" customBuiltin="1"/>
    <cellStyle name="20% — акцент4" xfId="31" builtinId="42" customBuiltin="1"/>
    <cellStyle name="20% — акцент5" xfId="35" builtinId="46" customBuiltin="1"/>
    <cellStyle name="20% — акцент6" xfId="39" builtinId="50" customBuiltin="1"/>
    <cellStyle name="40% — акцент1" xfId="20" builtinId="31" customBuiltin="1"/>
    <cellStyle name="40% — акцент2" xfId="24" builtinId="35" customBuiltin="1"/>
    <cellStyle name="40% — акцент3" xfId="28" builtinId="39" customBuiltin="1"/>
    <cellStyle name="40% — акцент4" xfId="32" builtinId="43" customBuiltin="1"/>
    <cellStyle name="40% — акцент5" xfId="36" builtinId="47" customBuiltin="1"/>
    <cellStyle name="40% — акцент6" xfId="40" builtinId="51" customBuiltin="1"/>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ellStyle name="Плохой" xfId="7" builtinId="27" customBuiltin="1"/>
    <cellStyle name="Пояснение" xfId="16" builtinId="53" customBuiltin="1"/>
    <cellStyle name="Примечание" xfId="15" builtinId="10" customBuiltin="1"/>
    <cellStyle name="Связанная ячейка" xfId="12" builtinId="24" customBuiltin="1"/>
    <cellStyle name="Текст предупреждения" xfId="14" builtinId="11" customBuiltin="1"/>
    <cellStyle name="Хороший"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CY103"/>
  <sheetViews>
    <sheetView topLeftCell="P1" workbookViewId="0">
      <selection activeCell="M1" sqref="M1"/>
    </sheetView>
  </sheetViews>
  <sheetFormatPr defaultRowHeight="14.4" x14ac:dyDescent="0.3"/>
  <cols>
    <col min="2" max="2" width="9.88671875" customWidth="1"/>
    <col min="3" max="3" width="13.33203125" customWidth="1"/>
    <col min="4" max="4" width="15.109375" customWidth="1"/>
    <col min="5" max="5" width="14.6640625" customWidth="1"/>
    <col min="6" max="6" width="20.88671875" customWidth="1"/>
    <col min="7" max="7" width="13.21875" customWidth="1"/>
  </cols>
  <sheetData>
    <row r="1" spans="1:103" x14ac:dyDescent="0.3">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c r="CM1" t="s">
        <v>90</v>
      </c>
      <c r="CN1" t="s">
        <v>91</v>
      </c>
      <c r="CO1" t="s">
        <v>92</v>
      </c>
      <c r="CP1" t="s">
        <v>93</v>
      </c>
      <c r="CQ1" t="s">
        <v>94</v>
      </c>
      <c r="CR1" t="s">
        <v>95</v>
      </c>
      <c r="CS1" t="s">
        <v>96</v>
      </c>
      <c r="CT1" t="s">
        <v>97</v>
      </c>
      <c r="CU1" t="s">
        <v>98</v>
      </c>
      <c r="CV1" t="s">
        <v>99</v>
      </c>
      <c r="CW1" t="s">
        <v>100</v>
      </c>
      <c r="CX1" t="s">
        <v>101</v>
      </c>
      <c r="CY1" t="s">
        <v>102</v>
      </c>
    </row>
    <row r="2" spans="1:103" x14ac:dyDescent="0.3">
      <c r="A2">
        <v>180512</v>
      </c>
      <c r="B2">
        <v>116929</v>
      </c>
      <c r="C2" t="str">
        <f>"920527450793"</f>
        <v>920527450793</v>
      </c>
      <c r="D2" t="s">
        <v>103</v>
      </c>
      <c r="E2" t="s">
        <v>104</v>
      </c>
      <c r="F2" t="s">
        <v>105</v>
      </c>
      <c r="G2" s="1">
        <v>33751</v>
      </c>
      <c r="I2" t="s">
        <v>106</v>
      </c>
      <c r="J2" t="s">
        <v>107</v>
      </c>
      <c r="K2" t="s">
        <v>108</v>
      </c>
      <c r="P2" t="s">
        <v>109</v>
      </c>
      <c r="W2" t="str">
        <f>"2017-11-06T00:00:00"</f>
        <v>2017-11-06T00:00:00</v>
      </c>
      <c r="X2" t="str">
        <f>"38"</f>
        <v>38</v>
      </c>
      <c r="Z2" t="s">
        <v>110</v>
      </c>
      <c r="AA2" t="s">
        <v>111</v>
      </c>
      <c r="AE2" t="s">
        <v>112</v>
      </c>
      <c r="AF2" t="s">
        <v>113</v>
      </c>
      <c r="AG2">
        <v>0</v>
      </c>
      <c r="AH2" t="s">
        <v>114</v>
      </c>
      <c r="AI2" t="s">
        <v>115</v>
      </c>
      <c r="AJ2" t="s">
        <v>116</v>
      </c>
      <c r="AN2" t="s">
        <v>117</v>
      </c>
      <c r="AO2" t="s">
        <v>118</v>
      </c>
      <c r="AP2" t="str">
        <f>"1"</f>
        <v>1</v>
      </c>
      <c r="AQ2" t="str">
        <f>"6"</f>
        <v>6</v>
      </c>
      <c r="AR2" t="str">
        <f>"4"</f>
        <v>4</v>
      </c>
      <c r="AS2" t="str">
        <f>"4"</f>
        <v>4</v>
      </c>
      <c r="AT2" t="str">
        <f>"5"</f>
        <v>5</v>
      </c>
      <c r="AU2" t="str">
        <f>"akmaral_kainarova@mail.ru"</f>
        <v>akmaral_kainarova@mail.ru</v>
      </c>
      <c r="AV2" t="str">
        <f>"87761210228"</f>
        <v>87761210228</v>
      </c>
      <c r="AW2" t="s">
        <v>119</v>
      </c>
      <c r="AZ2" t="s">
        <v>120</v>
      </c>
      <c r="BD2" t="s">
        <v>121</v>
      </c>
      <c r="BE2" t="s">
        <v>122</v>
      </c>
      <c r="BF2">
        <v>0</v>
      </c>
      <c r="BG2" t="str">
        <f>"[0]"</f>
        <v>[0]</v>
      </c>
      <c r="BH2" t="s">
        <v>118</v>
      </c>
      <c r="BI2">
        <v>0</v>
      </c>
      <c r="BU2" t="s">
        <v>123</v>
      </c>
      <c r="BV2" t="s">
        <v>121</v>
      </c>
      <c r="BW2" t="s">
        <v>124</v>
      </c>
      <c r="BX2" t="s">
        <v>125</v>
      </c>
      <c r="BY2" t="s">
        <v>126</v>
      </c>
      <c r="BZ2">
        <v>72</v>
      </c>
      <c r="CA2" t="s">
        <v>127</v>
      </c>
      <c r="CB2" t="s">
        <v>128</v>
      </c>
      <c r="CC2">
        <v>34556</v>
      </c>
      <c r="CD2" t="s">
        <v>129</v>
      </c>
      <c r="CE2" t="s">
        <v>130</v>
      </c>
      <c r="CI2" t="str">
        <f>"0"</f>
        <v>0</v>
      </c>
      <c r="CL2" t="s">
        <v>131</v>
      </c>
      <c r="CN2" t="s">
        <v>132</v>
      </c>
      <c r="CO2" t="s">
        <v>118</v>
      </c>
    </row>
    <row r="3" spans="1:103" x14ac:dyDescent="0.3">
      <c r="A3">
        <v>180530</v>
      </c>
      <c r="B3">
        <v>155648</v>
      </c>
      <c r="C3" t="str">
        <f>"870722450791"</f>
        <v>870722450791</v>
      </c>
      <c r="D3" t="s">
        <v>133</v>
      </c>
      <c r="E3" t="s">
        <v>134</v>
      </c>
      <c r="F3" t="s">
        <v>135</v>
      </c>
      <c r="G3" s="1">
        <v>31980</v>
      </c>
      <c r="I3" t="s">
        <v>106</v>
      </c>
      <c r="J3" t="s">
        <v>107</v>
      </c>
      <c r="K3" t="s">
        <v>108</v>
      </c>
      <c r="P3" t="s">
        <v>109</v>
      </c>
      <c r="Q3" t="s">
        <v>136</v>
      </c>
      <c r="W3" t="str">
        <f>"2016-08-31T00:00:00"</f>
        <v>2016-08-31T00:00:00</v>
      </c>
      <c r="X3" t="str">
        <f>"86"</f>
        <v>86</v>
      </c>
      <c r="Z3" t="s">
        <v>137</v>
      </c>
      <c r="AA3" t="s">
        <v>111</v>
      </c>
      <c r="AE3" t="s">
        <v>138</v>
      </c>
      <c r="AF3" t="s">
        <v>113</v>
      </c>
      <c r="AG3">
        <v>1.5</v>
      </c>
      <c r="AH3" t="s">
        <v>114</v>
      </c>
      <c r="AI3" t="s">
        <v>115</v>
      </c>
      <c r="AJ3" t="s">
        <v>116</v>
      </c>
      <c r="AN3" t="s">
        <v>117</v>
      </c>
      <c r="AO3" t="s">
        <v>118</v>
      </c>
      <c r="AP3" t="str">
        <f>"4"</f>
        <v>4</v>
      </c>
      <c r="AQ3" t="str">
        <f>"11"</f>
        <v>11</v>
      </c>
      <c r="AR3" t="str">
        <f>"9"</f>
        <v>9</v>
      </c>
      <c r="AS3" t="str">
        <f>"9"</f>
        <v>9</v>
      </c>
      <c r="AT3" t="str">
        <f>"7"</f>
        <v>7</v>
      </c>
      <c r="AU3" t="str">
        <f>"aigulya.smailova.1987@mail.ru"</f>
        <v>aigulya.smailova.1987@mail.ru</v>
      </c>
      <c r="AV3" t="str">
        <f>"87712676004"</f>
        <v>87712676004</v>
      </c>
      <c r="AW3" t="s">
        <v>139</v>
      </c>
      <c r="AX3" t="s">
        <v>140</v>
      </c>
      <c r="AZ3" t="s">
        <v>120</v>
      </c>
      <c r="BD3" t="s">
        <v>141</v>
      </c>
      <c r="BE3" t="s">
        <v>122</v>
      </c>
      <c r="BF3">
        <v>1.5</v>
      </c>
      <c r="BG3" t="str">
        <f>"[24]"</f>
        <v>[24]</v>
      </c>
      <c r="BH3" t="s">
        <v>118</v>
      </c>
      <c r="BI3">
        <v>0</v>
      </c>
      <c r="BN3" t="s">
        <v>142</v>
      </c>
      <c r="BR3" t="s">
        <v>131</v>
      </c>
      <c r="BU3" t="s">
        <v>143</v>
      </c>
      <c r="BV3" t="s">
        <v>144</v>
      </c>
      <c r="BW3" t="s">
        <v>145</v>
      </c>
      <c r="BX3" t="s">
        <v>146</v>
      </c>
      <c r="BY3" t="s">
        <v>147</v>
      </c>
      <c r="BZ3" t="s">
        <v>148</v>
      </c>
      <c r="CA3" t="s">
        <v>149</v>
      </c>
      <c r="CB3" t="s">
        <v>150</v>
      </c>
      <c r="CC3" t="s">
        <v>151</v>
      </c>
      <c r="CD3" t="s">
        <v>141</v>
      </c>
      <c r="CE3" t="s">
        <v>152</v>
      </c>
      <c r="CF3" t="s">
        <v>153</v>
      </c>
      <c r="CI3" t="str">
        <f>"0"</f>
        <v>0</v>
      </c>
      <c r="CL3" t="s">
        <v>131</v>
      </c>
      <c r="CN3" t="s">
        <v>132</v>
      </c>
      <c r="CO3" t="s">
        <v>118</v>
      </c>
    </row>
    <row r="4" spans="1:103" x14ac:dyDescent="0.3">
      <c r="A4">
        <v>180578</v>
      </c>
      <c r="B4">
        <v>153295</v>
      </c>
      <c r="C4" t="str">
        <f>"840828450693"</f>
        <v>840828450693</v>
      </c>
      <c r="D4" t="s">
        <v>154</v>
      </c>
      <c r="E4" t="s">
        <v>155</v>
      </c>
      <c r="F4" t="s">
        <v>156</v>
      </c>
      <c r="G4" s="1">
        <v>30922</v>
      </c>
      <c r="I4" t="s">
        <v>106</v>
      </c>
      <c r="J4" t="s">
        <v>107</v>
      </c>
      <c r="K4" t="s">
        <v>108</v>
      </c>
      <c r="P4" t="s">
        <v>109</v>
      </c>
      <c r="Q4" t="s">
        <v>136</v>
      </c>
      <c r="W4" t="str">
        <f>"2018-08-31T00:00:00"</f>
        <v>2018-08-31T00:00:00</v>
      </c>
      <c r="X4" t="str">
        <f>"196"</f>
        <v>196</v>
      </c>
      <c r="Z4" t="s">
        <v>137</v>
      </c>
      <c r="AA4" t="s">
        <v>111</v>
      </c>
      <c r="AE4" t="s">
        <v>138</v>
      </c>
      <c r="AF4" t="s">
        <v>157</v>
      </c>
      <c r="AG4">
        <v>1</v>
      </c>
      <c r="AH4" t="s">
        <v>114</v>
      </c>
      <c r="AI4" t="s">
        <v>115</v>
      </c>
      <c r="AJ4" t="s">
        <v>116</v>
      </c>
      <c r="AN4" t="s">
        <v>117</v>
      </c>
      <c r="AO4" t="s">
        <v>158</v>
      </c>
      <c r="AP4" t="str">
        <f>"15"</f>
        <v>15</v>
      </c>
      <c r="AQ4" t="str">
        <f>"20"</f>
        <v>20</v>
      </c>
      <c r="AR4" t="str">
        <f>"15"</f>
        <v>15</v>
      </c>
      <c r="AS4" t="str">
        <f>"15"</f>
        <v>15</v>
      </c>
      <c r="AT4" t="str">
        <f>"5"</f>
        <v>5</v>
      </c>
      <c r="AU4" t="str">
        <f>"aliya.zhakupova.84@inbox.ru"</f>
        <v>aliya.zhakupova.84@inbox.ru</v>
      </c>
      <c r="AV4" t="str">
        <f>"87777243670"</f>
        <v>87777243670</v>
      </c>
      <c r="AW4" t="s">
        <v>159</v>
      </c>
      <c r="AX4" t="s">
        <v>160</v>
      </c>
      <c r="AZ4" t="s">
        <v>120</v>
      </c>
      <c r="BH4" t="s">
        <v>118</v>
      </c>
      <c r="BI4">
        <v>0</v>
      </c>
      <c r="BN4" t="s">
        <v>161</v>
      </c>
      <c r="BR4" t="s">
        <v>131</v>
      </c>
      <c r="BU4" t="s">
        <v>162</v>
      </c>
      <c r="BV4" t="s">
        <v>163</v>
      </c>
      <c r="BW4" t="s">
        <v>164</v>
      </c>
      <c r="BX4" t="s">
        <v>165</v>
      </c>
      <c r="BY4" t="s">
        <v>166</v>
      </c>
      <c r="BZ4" t="s">
        <v>167</v>
      </c>
      <c r="CA4" t="s">
        <v>168</v>
      </c>
      <c r="CB4" t="s">
        <v>169</v>
      </c>
      <c r="CC4" t="s">
        <v>170</v>
      </c>
      <c r="CD4" t="s">
        <v>171</v>
      </c>
      <c r="CE4" t="s">
        <v>130</v>
      </c>
      <c r="CL4" t="s">
        <v>131</v>
      </c>
      <c r="CN4" t="s">
        <v>132</v>
      </c>
    </row>
    <row r="5" spans="1:103" x14ac:dyDescent="0.3">
      <c r="A5">
        <v>180599</v>
      </c>
      <c r="B5">
        <v>155706</v>
      </c>
      <c r="C5" t="str">
        <f>"940218451676"</f>
        <v>940218451676</v>
      </c>
      <c r="D5" t="s">
        <v>172</v>
      </c>
      <c r="E5" t="s">
        <v>173</v>
      </c>
      <c r="F5" t="s">
        <v>174</v>
      </c>
      <c r="G5" s="1">
        <v>34383</v>
      </c>
      <c r="I5" t="s">
        <v>106</v>
      </c>
      <c r="J5" t="s">
        <v>107</v>
      </c>
      <c r="K5" t="s">
        <v>108</v>
      </c>
      <c r="P5" t="s">
        <v>109</v>
      </c>
      <c r="W5" t="str">
        <f>"2017-01-10T00:00:00"</f>
        <v>2017-01-10T00:00:00</v>
      </c>
      <c r="X5" t="str">
        <f>"7"</f>
        <v>7</v>
      </c>
      <c r="Z5" t="s">
        <v>175</v>
      </c>
      <c r="AA5" t="s">
        <v>111</v>
      </c>
      <c r="AE5" t="s">
        <v>138</v>
      </c>
      <c r="AF5" t="s">
        <v>176</v>
      </c>
      <c r="AG5">
        <v>1</v>
      </c>
      <c r="AH5" t="s">
        <v>114</v>
      </c>
      <c r="AI5" t="s">
        <v>115</v>
      </c>
      <c r="AJ5" t="s">
        <v>116</v>
      </c>
      <c r="AN5" t="s">
        <v>117</v>
      </c>
      <c r="AO5" t="s">
        <v>118</v>
      </c>
      <c r="AP5" t="str">
        <f>"0"</f>
        <v>0</v>
      </c>
      <c r="AQ5" t="str">
        <f>"7"</f>
        <v>7</v>
      </c>
      <c r="AR5" t="str">
        <f>"6"</f>
        <v>6</v>
      </c>
      <c r="AS5" t="str">
        <f>"6"</f>
        <v>6</v>
      </c>
      <c r="AT5" t="str">
        <f>"7"</f>
        <v>7</v>
      </c>
      <c r="AU5" t="str">
        <f>"aubakirova.nazerke94@mail.ru"</f>
        <v>aubakirova.nazerke94@mail.ru</v>
      </c>
      <c r="AV5" t="str">
        <f>"87164556515"</f>
        <v>87164556515</v>
      </c>
      <c r="AW5" t="s">
        <v>119</v>
      </c>
      <c r="AZ5" t="s">
        <v>177</v>
      </c>
      <c r="BH5" t="s">
        <v>118</v>
      </c>
      <c r="BI5">
        <v>0</v>
      </c>
      <c r="BJ5" t="s">
        <v>119</v>
      </c>
      <c r="BN5" t="s">
        <v>142</v>
      </c>
      <c r="BR5" t="s">
        <v>131</v>
      </c>
      <c r="BU5" t="s">
        <v>178</v>
      </c>
      <c r="BV5" t="s">
        <v>179</v>
      </c>
      <c r="BW5" t="s">
        <v>180</v>
      </c>
      <c r="BX5" t="s">
        <v>146</v>
      </c>
      <c r="BY5" t="s">
        <v>147</v>
      </c>
      <c r="BZ5" t="s">
        <v>181</v>
      </c>
      <c r="CA5" t="s">
        <v>182</v>
      </c>
      <c r="CB5" t="s">
        <v>183</v>
      </c>
      <c r="CC5" t="s">
        <v>184</v>
      </c>
      <c r="CD5" t="s">
        <v>171</v>
      </c>
      <c r="CE5" t="s">
        <v>130</v>
      </c>
      <c r="CI5" t="str">
        <f t="shared" ref="CI5:CI28" si="0">"0"</f>
        <v>0</v>
      </c>
      <c r="CL5" t="s">
        <v>136</v>
      </c>
      <c r="CN5" t="s">
        <v>132</v>
      </c>
      <c r="CO5" t="s">
        <v>185</v>
      </c>
    </row>
    <row r="6" spans="1:103" x14ac:dyDescent="0.3">
      <c r="A6">
        <v>180605</v>
      </c>
      <c r="B6">
        <v>155711</v>
      </c>
      <c r="C6" t="str">
        <f>"911005401827"</f>
        <v>911005401827</v>
      </c>
      <c r="D6" t="s">
        <v>186</v>
      </c>
      <c r="E6" t="s">
        <v>187</v>
      </c>
      <c r="F6" t="s">
        <v>188</v>
      </c>
      <c r="G6" s="1">
        <v>33516</v>
      </c>
      <c r="I6" t="s">
        <v>106</v>
      </c>
      <c r="J6" t="s">
        <v>107</v>
      </c>
      <c r="K6" t="s">
        <v>108</v>
      </c>
      <c r="P6" t="s">
        <v>109</v>
      </c>
      <c r="W6" t="str">
        <f>"2017-08-28T00:00:00"</f>
        <v>2017-08-28T00:00:00</v>
      </c>
      <c r="X6" t="str">
        <f>"138"</f>
        <v>138</v>
      </c>
      <c r="Z6" t="s">
        <v>137</v>
      </c>
      <c r="AA6" t="s">
        <v>111</v>
      </c>
      <c r="AE6" t="s">
        <v>138</v>
      </c>
      <c r="AF6" t="s">
        <v>113</v>
      </c>
      <c r="AG6">
        <v>1.5</v>
      </c>
      <c r="AH6" t="s">
        <v>114</v>
      </c>
      <c r="AI6" t="s">
        <v>115</v>
      </c>
      <c r="AJ6" t="s">
        <v>116</v>
      </c>
      <c r="AN6" t="s">
        <v>117</v>
      </c>
      <c r="AO6" t="s">
        <v>118</v>
      </c>
      <c r="AP6" t="str">
        <f>"1"</f>
        <v>1</v>
      </c>
      <c r="AQ6" t="str">
        <f>"7"</f>
        <v>7</v>
      </c>
      <c r="AR6" t="str">
        <f>"7"</f>
        <v>7</v>
      </c>
      <c r="AS6" t="str">
        <f>"7"</f>
        <v>7</v>
      </c>
      <c r="AT6" t="str">
        <f>"6"</f>
        <v>6</v>
      </c>
      <c r="AU6" t="str">
        <f>"rachidinova.akerke@bk.ru"</f>
        <v>rachidinova.akerke@bk.ru</v>
      </c>
      <c r="AV6" t="str">
        <f>"87789298338"</f>
        <v>87789298338</v>
      </c>
      <c r="AW6" t="s">
        <v>119</v>
      </c>
      <c r="AZ6" t="s">
        <v>189</v>
      </c>
      <c r="BD6" t="s">
        <v>190</v>
      </c>
      <c r="BE6" t="s">
        <v>122</v>
      </c>
      <c r="BF6">
        <v>1.5</v>
      </c>
      <c r="BG6" t="str">
        <f>"[24]"</f>
        <v>[24]</v>
      </c>
      <c r="BH6" t="s">
        <v>118</v>
      </c>
      <c r="BI6">
        <v>0</v>
      </c>
      <c r="BN6" t="s">
        <v>161</v>
      </c>
      <c r="BR6" t="s">
        <v>131</v>
      </c>
      <c r="BU6" t="s">
        <v>191</v>
      </c>
      <c r="BV6" t="s">
        <v>192</v>
      </c>
      <c r="BW6" t="s">
        <v>193</v>
      </c>
      <c r="BX6" t="s">
        <v>194</v>
      </c>
      <c r="BY6" t="s">
        <v>195</v>
      </c>
      <c r="BZ6" t="s">
        <v>196</v>
      </c>
      <c r="CA6" t="s">
        <v>197</v>
      </c>
      <c r="CB6" t="s">
        <v>198</v>
      </c>
      <c r="CC6" t="s">
        <v>199</v>
      </c>
      <c r="CD6" t="s">
        <v>190</v>
      </c>
      <c r="CE6" t="s">
        <v>200</v>
      </c>
      <c r="CF6" t="s">
        <v>153</v>
      </c>
      <c r="CI6" t="str">
        <f t="shared" si="0"/>
        <v>0</v>
      </c>
      <c r="CL6" t="s">
        <v>131</v>
      </c>
      <c r="CN6" t="s">
        <v>201</v>
      </c>
      <c r="CO6" t="s">
        <v>185</v>
      </c>
    </row>
    <row r="7" spans="1:103" x14ac:dyDescent="0.3">
      <c r="A7">
        <v>180611</v>
      </c>
      <c r="B7">
        <v>155717</v>
      </c>
      <c r="C7" t="str">
        <f>"861026450868"</f>
        <v>861026450868</v>
      </c>
      <c r="D7" t="s">
        <v>202</v>
      </c>
      <c r="E7" t="s">
        <v>203</v>
      </c>
      <c r="F7" t="s">
        <v>204</v>
      </c>
      <c r="G7" s="1">
        <v>31711</v>
      </c>
      <c r="I7" t="s">
        <v>106</v>
      </c>
      <c r="J7" t="s">
        <v>107</v>
      </c>
      <c r="K7" t="s">
        <v>205</v>
      </c>
      <c r="P7" t="s">
        <v>109</v>
      </c>
      <c r="Q7" t="s">
        <v>136</v>
      </c>
      <c r="W7" t="str">
        <f>"2017-08-28T00:00:00"</f>
        <v>2017-08-28T00:00:00</v>
      </c>
      <c r="X7" t="str">
        <f>"139"</f>
        <v>139</v>
      </c>
      <c r="Z7" t="s">
        <v>206</v>
      </c>
      <c r="AA7" t="s">
        <v>111</v>
      </c>
      <c r="AE7" t="s">
        <v>138</v>
      </c>
      <c r="AF7" t="s">
        <v>207</v>
      </c>
      <c r="AG7">
        <v>1.5</v>
      </c>
      <c r="AH7" t="s">
        <v>114</v>
      </c>
      <c r="AI7" t="s">
        <v>115</v>
      </c>
      <c r="AJ7" t="s">
        <v>208</v>
      </c>
      <c r="AN7" t="s">
        <v>117</v>
      </c>
      <c r="AO7" t="s">
        <v>118</v>
      </c>
      <c r="AP7" t="str">
        <f>"7"</f>
        <v>7</v>
      </c>
      <c r="AQ7" t="str">
        <f>"13"</f>
        <v>13</v>
      </c>
      <c r="AR7" t="str">
        <f>"7"</f>
        <v>7</v>
      </c>
      <c r="AS7" t="str">
        <f>"7"</f>
        <v>7</v>
      </c>
      <c r="AT7" t="str">
        <f>"6"</f>
        <v>6</v>
      </c>
      <c r="AU7" t="str">
        <f>"alena_tokarchik@mail.ru"</f>
        <v>alena_tokarchik@mail.ru</v>
      </c>
      <c r="AV7" t="str">
        <f>"87472259629"</f>
        <v>87472259629</v>
      </c>
      <c r="AW7" t="s">
        <v>159</v>
      </c>
      <c r="AX7" t="s">
        <v>209</v>
      </c>
      <c r="AY7" t="s">
        <v>210</v>
      </c>
      <c r="AZ7" t="s">
        <v>211</v>
      </c>
      <c r="BD7" t="s">
        <v>212</v>
      </c>
      <c r="BE7" t="s">
        <v>213</v>
      </c>
      <c r="BF7">
        <v>1.5</v>
      </c>
      <c r="BG7" t="str">
        <f>"[24]"</f>
        <v>[24]</v>
      </c>
      <c r="BH7" t="s">
        <v>214</v>
      </c>
      <c r="BI7">
        <v>0.5</v>
      </c>
      <c r="BJ7" t="s">
        <v>119</v>
      </c>
      <c r="BL7" t="s">
        <v>171</v>
      </c>
      <c r="BM7">
        <v>0</v>
      </c>
      <c r="BN7" t="s">
        <v>161</v>
      </c>
      <c r="BR7" t="s">
        <v>131</v>
      </c>
      <c r="BU7" t="s">
        <v>215</v>
      </c>
      <c r="BV7" t="s">
        <v>216</v>
      </c>
      <c r="BW7" t="s">
        <v>217</v>
      </c>
      <c r="BX7" t="s">
        <v>218</v>
      </c>
      <c r="BY7" t="s">
        <v>219</v>
      </c>
      <c r="BZ7" t="s">
        <v>220</v>
      </c>
      <c r="CA7" t="s">
        <v>221</v>
      </c>
      <c r="CB7" t="s">
        <v>222</v>
      </c>
      <c r="CC7" t="s">
        <v>223</v>
      </c>
      <c r="CD7" t="s">
        <v>190</v>
      </c>
      <c r="CE7" t="s">
        <v>224</v>
      </c>
      <c r="CF7" s="2">
        <v>45383</v>
      </c>
      <c r="CI7" t="str">
        <f t="shared" si="0"/>
        <v>0</v>
      </c>
      <c r="CL7" t="s">
        <v>131</v>
      </c>
      <c r="CN7" t="s">
        <v>132</v>
      </c>
      <c r="CO7" t="s">
        <v>185</v>
      </c>
    </row>
    <row r="8" spans="1:103" x14ac:dyDescent="0.3">
      <c r="A8">
        <v>180632</v>
      </c>
      <c r="B8">
        <v>155731</v>
      </c>
      <c r="C8" t="str">
        <f>"741109401479"</f>
        <v>741109401479</v>
      </c>
      <c r="D8" t="s">
        <v>225</v>
      </c>
      <c r="E8" t="s">
        <v>226</v>
      </c>
      <c r="F8" t="s">
        <v>227</v>
      </c>
      <c r="G8" s="1">
        <v>27342</v>
      </c>
      <c r="I8" t="s">
        <v>106</v>
      </c>
      <c r="J8" t="s">
        <v>107</v>
      </c>
      <c r="K8" t="s">
        <v>108</v>
      </c>
      <c r="P8" t="s">
        <v>109</v>
      </c>
      <c r="Q8" t="s">
        <v>136</v>
      </c>
      <c r="W8" t="str">
        <f>"2022-12-15T00:00:00"</f>
        <v>2022-12-15T00:00:00</v>
      </c>
      <c r="X8" t="str">
        <f>"357"</f>
        <v>357</v>
      </c>
      <c r="Z8" t="s">
        <v>137</v>
      </c>
      <c r="AA8" t="s">
        <v>111</v>
      </c>
      <c r="AE8" t="s">
        <v>138</v>
      </c>
      <c r="AF8" t="s">
        <v>228</v>
      </c>
      <c r="AG8">
        <v>1</v>
      </c>
      <c r="AH8" t="s">
        <v>114</v>
      </c>
      <c r="AI8" t="s">
        <v>229</v>
      </c>
      <c r="AJ8" t="s">
        <v>230</v>
      </c>
      <c r="AN8" t="s">
        <v>117</v>
      </c>
      <c r="AO8" t="s">
        <v>118</v>
      </c>
      <c r="AP8" t="str">
        <f>"28"</f>
        <v>28</v>
      </c>
      <c r="AQ8" t="str">
        <f>"29"</f>
        <v>29</v>
      </c>
      <c r="AR8" t="str">
        <f>"28"</f>
        <v>28</v>
      </c>
      <c r="AS8" t="str">
        <f>"28"</f>
        <v>28</v>
      </c>
      <c r="AT8" t="str">
        <f>"1"</f>
        <v>1</v>
      </c>
      <c r="AU8" t="str">
        <f>"dametken.ospanova@mail.ru"</f>
        <v>dametken.ospanova@mail.ru</v>
      </c>
      <c r="AV8" t="str">
        <f>"87713749074"</f>
        <v>87713749074</v>
      </c>
      <c r="AW8" t="s">
        <v>231</v>
      </c>
      <c r="AX8" t="s">
        <v>232</v>
      </c>
      <c r="AY8" t="s">
        <v>233</v>
      </c>
      <c r="AZ8" t="s">
        <v>177</v>
      </c>
      <c r="BD8" t="s">
        <v>212</v>
      </c>
      <c r="BE8" t="s">
        <v>122</v>
      </c>
      <c r="BF8">
        <v>0.5</v>
      </c>
      <c r="BG8" t="str">
        <f>"[8]"</f>
        <v>[8]</v>
      </c>
      <c r="BH8" t="s">
        <v>118</v>
      </c>
      <c r="BI8">
        <v>0</v>
      </c>
      <c r="BN8" t="s">
        <v>161</v>
      </c>
      <c r="BR8" t="s">
        <v>131</v>
      </c>
      <c r="BU8" t="s">
        <v>234</v>
      </c>
      <c r="BV8" t="s">
        <v>235</v>
      </c>
      <c r="BW8" t="s">
        <v>236</v>
      </c>
      <c r="BX8" t="s">
        <v>237</v>
      </c>
      <c r="BY8" t="s">
        <v>238</v>
      </c>
      <c r="BZ8" t="s">
        <v>239</v>
      </c>
      <c r="CA8" t="s">
        <v>240</v>
      </c>
      <c r="CB8" t="s">
        <v>241</v>
      </c>
      <c r="CC8" t="s">
        <v>242</v>
      </c>
      <c r="CD8" t="s">
        <v>171</v>
      </c>
      <c r="CE8" t="s">
        <v>243</v>
      </c>
      <c r="CF8" s="2">
        <v>45383</v>
      </c>
      <c r="CI8" t="str">
        <f t="shared" si="0"/>
        <v>0</v>
      </c>
      <c r="CL8" t="s">
        <v>136</v>
      </c>
      <c r="CN8" t="s">
        <v>132</v>
      </c>
      <c r="CO8" t="s">
        <v>244</v>
      </c>
    </row>
    <row r="9" spans="1:103" x14ac:dyDescent="0.3">
      <c r="A9">
        <v>180644</v>
      </c>
      <c r="B9">
        <v>155743</v>
      </c>
      <c r="C9" t="str">
        <f>"940708401435"</f>
        <v>940708401435</v>
      </c>
      <c r="D9" t="s">
        <v>245</v>
      </c>
      <c r="E9" t="s">
        <v>246</v>
      </c>
      <c r="F9" t="s">
        <v>156</v>
      </c>
      <c r="G9" s="1">
        <v>34523</v>
      </c>
      <c r="I9" t="s">
        <v>106</v>
      </c>
      <c r="J9" t="s">
        <v>107</v>
      </c>
      <c r="K9" t="s">
        <v>108</v>
      </c>
      <c r="P9" t="s">
        <v>109</v>
      </c>
      <c r="Q9" t="s">
        <v>136</v>
      </c>
      <c r="W9" t="str">
        <f>"2017-08-29T00:00:00"</f>
        <v>2017-08-29T00:00:00</v>
      </c>
      <c r="X9" t="str">
        <f>"144"</f>
        <v>144</v>
      </c>
      <c r="Z9" t="s">
        <v>137</v>
      </c>
      <c r="AA9" t="s">
        <v>111</v>
      </c>
      <c r="AE9" t="s">
        <v>138</v>
      </c>
      <c r="AF9" t="s">
        <v>113</v>
      </c>
      <c r="AG9">
        <v>1.1000000000000001</v>
      </c>
      <c r="AH9" t="s">
        <v>114</v>
      </c>
      <c r="AI9" t="s">
        <v>115</v>
      </c>
      <c r="AJ9" t="s">
        <v>116</v>
      </c>
      <c r="AN9" t="s">
        <v>117</v>
      </c>
      <c r="AO9" t="s">
        <v>118</v>
      </c>
      <c r="AP9" t="str">
        <f>"3"</f>
        <v>3</v>
      </c>
      <c r="AQ9" t="str">
        <f>"9"</f>
        <v>9</v>
      </c>
      <c r="AR9" t="str">
        <f>"9"</f>
        <v>9</v>
      </c>
      <c r="AS9" t="str">
        <f>"9"</f>
        <v>9</v>
      </c>
      <c r="AT9" t="str">
        <f>"6"</f>
        <v>6</v>
      </c>
      <c r="AU9" t="str">
        <f>"altyn0807@mail.ru"</f>
        <v>altyn0807@mail.ru</v>
      </c>
      <c r="AV9" t="str">
        <f>"87770402367"</f>
        <v>87770402367</v>
      </c>
      <c r="AW9" t="s">
        <v>139</v>
      </c>
      <c r="AX9" t="s">
        <v>160</v>
      </c>
      <c r="AZ9" t="s">
        <v>120</v>
      </c>
      <c r="BD9" t="s">
        <v>141</v>
      </c>
      <c r="BE9" t="s">
        <v>122</v>
      </c>
      <c r="BF9">
        <v>1.1000000000000001</v>
      </c>
      <c r="BG9" t="str">
        <f>"[18]"</f>
        <v>[18]</v>
      </c>
      <c r="BH9" t="s">
        <v>118</v>
      </c>
      <c r="BI9">
        <v>0</v>
      </c>
      <c r="BN9" t="s">
        <v>142</v>
      </c>
      <c r="BR9" t="s">
        <v>131</v>
      </c>
      <c r="BU9" t="s">
        <v>247</v>
      </c>
      <c r="BV9" t="s">
        <v>248</v>
      </c>
      <c r="BW9" t="s">
        <v>249</v>
      </c>
      <c r="BX9" t="s">
        <v>250</v>
      </c>
      <c r="BY9" t="s">
        <v>251</v>
      </c>
      <c r="BZ9" t="s">
        <v>252</v>
      </c>
      <c r="CA9" t="s">
        <v>253</v>
      </c>
      <c r="CB9" t="s">
        <v>254</v>
      </c>
      <c r="CC9" t="s">
        <v>255</v>
      </c>
      <c r="CD9" t="s">
        <v>141</v>
      </c>
      <c r="CE9" t="s">
        <v>256</v>
      </c>
      <c r="CF9" t="s">
        <v>153</v>
      </c>
      <c r="CI9" t="str">
        <f t="shared" si="0"/>
        <v>0</v>
      </c>
      <c r="CL9" t="s">
        <v>136</v>
      </c>
      <c r="CN9" t="s">
        <v>132</v>
      </c>
      <c r="CO9" t="s">
        <v>118</v>
      </c>
    </row>
    <row r="10" spans="1:103" x14ac:dyDescent="0.3">
      <c r="A10">
        <v>180653</v>
      </c>
      <c r="B10">
        <v>155749</v>
      </c>
      <c r="C10" t="str">
        <f>"670523450252"</f>
        <v>670523450252</v>
      </c>
      <c r="D10" t="s">
        <v>257</v>
      </c>
      <c r="E10" t="s">
        <v>258</v>
      </c>
      <c r="F10" t="s">
        <v>259</v>
      </c>
      <c r="G10" s="1">
        <v>24615</v>
      </c>
      <c r="I10" t="s">
        <v>106</v>
      </c>
      <c r="J10" t="s">
        <v>107</v>
      </c>
      <c r="K10" t="s">
        <v>108</v>
      </c>
      <c r="P10" t="s">
        <v>109</v>
      </c>
      <c r="Q10" t="s">
        <v>136</v>
      </c>
      <c r="W10" t="str">
        <f>"2017-09-02T00:00:00"</f>
        <v>2017-09-02T00:00:00</v>
      </c>
      <c r="X10" t="str">
        <f>"150"</f>
        <v>150</v>
      </c>
      <c r="Z10" t="s">
        <v>137</v>
      </c>
      <c r="AA10" t="s">
        <v>111</v>
      </c>
      <c r="AE10" t="s">
        <v>138</v>
      </c>
      <c r="AF10" t="s">
        <v>113</v>
      </c>
      <c r="AG10">
        <v>1.5</v>
      </c>
      <c r="AH10" t="s">
        <v>114</v>
      </c>
      <c r="AI10" t="s">
        <v>115</v>
      </c>
      <c r="AJ10" t="s">
        <v>116</v>
      </c>
      <c r="AN10" t="s">
        <v>117</v>
      </c>
      <c r="AO10" t="s">
        <v>118</v>
      </c>
      <c r="AP10" t="str">
        <f>"21"</f>
        <v>21</v>
      </c>
      <c r="AQ10" t="str">
        <f>"27"</f>
        <v>27</v>
      </c>
      <c r="AR10" t="str">
        <f>"27"</f>
        <v>27</v>
      </c>
      <c r="AS10" t="str">
        <f>"27"</f>
        <v>27</v>
      </c>
      <c r="AT10" t="str">
        <f>"6"</f>
        <v>6</v>
      </c>
      <c r="AU10" t="str">
        <f>"kaidarova.sara@mail.ru"</f>
        <v>kaidarova.sara@mail.ru</v>
      </c>
      <c r="AV10" t="str">
        <f>"87164536515"</f>
        <v>87164536515</v>
      </c>
      <c r="AW10" t="s">
        <v>139</v>
      </c>
      <c r="AX10" t="s">
        <v>232</v>
      </c>
      <c r="AZ10" t="s">
        <v>211</v>
      </c>
      <c r="BD10" t="s">
        <v>141</v>
      </c>
      <c r="BE10" t="s">
        <v>122</v>
      </c>
      <c r="BF10">
        <v>1.5</v>
      </c>
      <c r="BG10" t="str">
        <f>"[24]"</f>
        <v>[24]</v>
      </c>
      <c r="BH10" t="s">
        <v>118</v>
      </c>
      <c r="BI10">
        <v>0</v>
      </c>
      <c r="BN10" t="s">
        <v>161</v>
      </c>
      <c r="BR10" t="s">
        <v>131</v>
      </c>
      <c r="BU10" t="s">
        <v>260</v>
      </c>
      <c r="BV10" t="s">
        <v>261</v>
      </c>
      <c r="BW10" t="s">
        <v>262</v>
      </c>
      <c r="BX10" t="s">
        <v>263</v>
      </c>
      <c r="BY10" t="s">
        <v>264</v>
      </c>
      <c r="BZ10" t="s">
        <v>265</v>
      </c>
      <c r="CA10" t="s">
        <v>266</v>
      </c>
      <c r="CB10" t="s">
        <v>267</v>
      </c>
      <c r="CC10" t="s">
        <v>268</v>
      </c>
      <c r="CD10" t="s">
        <v>141</v>
      </c>
      <c r="CE10" t="s">
        <v>269</v>
      </c>
      <c r="CF10" t="s">
        <v>153</v>
      </c>
      <c r="CI10" t="str">
        <f t="shared" si="0"/>
        <v>0</v>
      </c>
      <c r="CL10" t="s">
        <v>131</v>
      </c>
      <c r="CN10" t="s">
        <v>132</v>
      </c>
      <c r="CO10" t="s">
        <v>118</v>
      </c>
    </row>
    <row r="11" spans="1:103" x14ac:dyDescent="0.3">
      <c r="A11">
        <v>180661</v>
      </c>
      <c r="B11">
        <v>155756</v>
      </c>
      <c r="C11" t="str">
        <f>"830202450182"</f>
        <v>830202450182</v>
      </c>
      <c r="D11" t="s">
        <v>270</v>
      </c>
      <c r="E11" t="s">
        <v>271</v>
      </c>
      <c r="F11" t="s">
        <v>272</v>
      </c>
      <c r="G11" s="1">
        <v>30349</v>
      </c>
      <c r="I11" t="s">
        <v>106</v>
      </c>
      <c r="J11" t="s">
        <v>107</v>
      </c>
      <c r="K11" t="s">
        <v>273</v>
      </c>
      <c r="P11" t="s">
        <v>109</v>
      </c>
      <c r="W11" t="str">
        <f>"2017-09-02T00:00:00"</f>
        <v>2017-09-02T00:00:00</v>
      </c>
      <c r="X11" t="str">
        <f>"151"</f>
        <v>151</v>
      </c>
      <c r="Z11" t="s">
        <v>110</v>
      </c>
      <c r="AA11" t="s">
        <v>111</v>
      </c>
      <c r="AE11" t="s">
        <v>138</v>
      </c>
      <c r="AF11" t="s">
        <v>176</v>
      </c>
      <c r="AG11">
        <v>1</v>
      </c>
      <c r="AH11" t="s">
        <v>114</v>
      </c>
      <c r="AI11" t="s">
        <v>115</v>
      </c>
      <c r="AJ11" t="s">
        <v>116</v>
      </c>
      <c r="AN11" t="s">
        <v>117</v>
      </c>
      <c r="AO11" t="s">
        <v>118</v>
      </c>
      <c r="AP11" t="str">
        <f>"9"</f>
        <v>9</v>
      </c>
      <c r="AQ11" t="str">
        <f>"15"</f>
        <v>15</v>
      </c>
      <c r="AR11" t="str">
        <f>"12"</f>
        <v>12</v>
      </c>
      <c r="AS11" t="str">
        <f>"12"</f>
        <v>12</v>
      </c>
      <c r="AT11" t="str">
        <f>"6"</f>
        <v>6</v>
      </c>
      <c r="AU11" t="str">
        <f>"tmantaridi@mail.ru"</f>
        <v>tmantaridi@mail.ru</v>
      </c>
      <c r="AV11" t="str">
        <f>"87754727187"</f>
        <v>87754727187</v>
      </c>
      <c r="AW11" t="s">
        <v>159</v>
      </c>
      <c r="AX11" t="s">
        <v>209</v>
      </c>
      <c r="AZ11" t="s">
        <v>211</v>
      </c>
      <c r="BH11" t="s">
        <v>274</v>
      </c>
      <c r="BI11">
        <v>0.5</v>
      </c>
      <c r="BN11" t="s">
        <v>275</v>
      </c>
      <c r="BR11" t="s">
        <v>131</v>
      </c>
      <c r="BU11" t="s">
        <v>276</v>
      </c>
      <c r="BV11" t="s">
        <v>277</v>
      </c>
      <c r="BW11" t="s">
        <v>278</v>
      </c>
      <c r="BX11" t="s">
        <v>250</v>
      </c>
      <c r="BY11" t="s">
        <v>279</v>
      </c>
      <c r="BZ11" t="s">
        <v>280</v>
      </c>
      <c r="CA11" t="s">
        <v>281</v>
      </c>
      <c r="CB11" t="s">
        <v>282</v>
      </c>
      <c r="CC11" t="s">
        <v>283</v>
      </c>
      <c r="CD11" t="s">
        <v>171</v>
      </c>
      <c r="CE11" t="s">
        <v>284</v>
      </c>
      <c r="CI11" t="str">
        <f t="shared" si="0"/>
        <v>0</v>
      </c>
      <c r="CL11" t="s">
        <v>136</v>
      </c>
      <c r="CN11" t="s">
        <v>132</v>
      </c>
      <c r="CO11" t="s">
        <v>185</v>
      </c>
    </row>
    <row r="12" spans="1:103" x14ac:dyDescent="0.3">
      <c r="A12">
        <v>180685</v>
      </c>
      <c r="B12">
        <v>155776</v>
      </c>
      <c r="C12" t="str">
        <f>"950614450711"</f>
        <v>950614450711</v>
      </c>
      <c r="D12" t="s">
        <v>285</v>
      </c>
      <c r="E12" t="s">
        <v>286</v>
      </c>
      <c r="F12" t="s">
        <v>287</v>
      </c>
      <c r="G12" s="1">
        <v>34864</v>
      </c>
      <c r="I12" t="s">
        <v>106</v>
      </c>
      <c r="J12" t="s">
        <v>107</v>
      </c>
      <c r="K12" t="s">
        <v>108</v>
      </c>
      <c r="P12" t="s">
        <v>109</v>
      </c>
      <c r="W12" t="str">
        <f>"2017-12-14T00:00:00"</f>
        <v>2017-12-14T00:00:00</v>
      </c>
      <c r="X12" t="str">
        <f>"245"</f>
        <v>245</v>
      </c>
      <c r="Z12" t="s">
        <v>175</v>
      </c>
      <c r="AA12" t="s">
        <v>111</v>
      </c>
      <c r="AE12" t="s">
        <v>112</v>
      </c>
      <c r="AF12" t="s">
        <v>113</v>
      </c>
      <c r="AG12">
        <v>0</v>
      </c>
      <c r="AH12" t="s">
        <v>114</v>
      </c>
      <c r="AI12" t="s">
        <v>115</v>
      </c>
      <c r="AJ12" t="s">
        <v>116</v>
      </c>
      <c r="AN12" t="s">
        <v>117</v>
      </c>
      <c r="AO12" t="s">
        <v>118</v>
      </c>
      <c r="AP12" t="str">
        <f>"0"</f>
        <v>0</v>
      </c>
      <c r="AQ12" t="str">
        <f>"5"</f>
        <v>5</v>
      </c>
      <c r="AR12" t="str">
        <f>"3"</f>
        <v>3</v>
      </c>
      <c r="AS12" t="str">
        <f>"3"</f>
        <v>3</v>
      </c>
      <c r="AT12" t="str">
        <f>"5"</f>
        <v>5</v>
      </c>
      <c r="AU12" t="str">
        <f>"Alina.Askarova@mail.ru"</f>
        <v>Alina.Askarova@mail.ru</v>
      </c>
      <c r="AV12" t="str">
        <f>"87477524387"</f>
        <v>87477524387</v>
      </c>
      <c r="AW12" t="s">
        <v>159</v>
      </c>
      <c r="AX12" t="s">
        <v>140</v>
      </c>
      <c r="AZ12" t="s">
        <v>211</v>
      </c>
      <c r="BD12" t="s">
        <v>288</v>
      </c>
      <c r="BE12" t="s">
        <v>122</v>
      </c>
      <c r="BF12">
        <v>0</v>
      </c>
      <c r="BG12" t="str">
        <f>"[0]"</f>
        <v>[0]</v>
      </c>
      <c r="BH12" t="s">
        <v>118</v>
      </c>
      <c r="BI12">
        <v>0</v>
      </c>
      <c r="BU12" t="s">
        <v>289</v>
      </c>
      <c r="BV12" t="s">
        <v>290</v>
      </c>
      <c r="BW12" t="s">
        <v>291</v>
      </c>
      <c r="BX12" t="s">
        <v>292</v>
      </c>
      <c r="BY12" t="s">
        <v>293</v>
      </c>
      <c r="BZ12" t="s">
        <v>294</v>
      </c>
      <c r="CA12" t="s">
        <v>295</v>
      </c>
      <c r="CB12" t="s">
        <v>296</v>
      </c>
      <c r="CC12" t="s">
        <v>297</v>
      </c>
      <c r="CD12" t="s">
        <v>171</v>
      </c>
      <c r="CE12" t="s">
        <v>130</v>
      </c>
      <c r="CI12" t="str">
        <f t="shared" si="0"/>
        <v>0</v>
      </c>
      <c r="CL12" t="s">
        <v>131</v>
      </c>
      <c r="CN12" t="s">
        <v>132</v>
      </c>
      <c r="CO12" t="s">
        <v>185</v>
      </c>
    </row>
    <row r="13" spans="1:103" x14ac:dyDescent="0.3">
      <c r="A13">
        <v>180703</v>
      </c>
      <c r="B13">
        <v>155790</v>
      </c>
      <c r="C13" t="str">
        <f>"960928451372"</f>
        <v>960928451372</v>
      </c>
      <c r="D13" t="s">
        <v>298</v>
      </c>
      <c r="E13" t="s">
        <v>299</v>
      </c>
      <c r="F13" t="s">
        <v>272</v>
      </c>
      <c r="G13" s="1">
        <v>35336</v>
      </c>
      <c r="I13" t="s">
        <v>106</v>
      </c>
      <c r="J13" t="s">
        <v>107</v>
      </c>
      <c r="K13" t="s">
        <v>205</v>
      </c>
      <c r="P13" t="s">
        <v>109</v>
      </c>
      <c r="W13" t="str">
        <f>"2018-08-16T00:00:00"</f>
        <v>2018-08-16T00:00:00</v>
      </c>
      <c r="X13" t="str">
        <f>"192"</f>
        <v>192</v>
      </c>
      <c r="Z13" t="s">
        <v>175</v>
      </c>
      <c r="AA13" t="s">
        <v>111</v>
      </c>
      <c r="AE13" t="s">
        <v>138</v>
      </c>
      <c r="AF13" t="s">
        <v>207</v>
      </c>
      <c r="AG13">
        <v>1.1000000000000001</v>
      </c>
      <c r="AH13" t="s">
        <v>114</v>
      </c>
      <c r="AI13" t="s">
        <v>115</v>
      </c>
      <c r="AJ13" t="s">
        <v>116</v>
      </c>
      <c r="AN13" t="s">
        <v>117</v>
      </c>
      <c r="AO13" t="s">
        <v>118</v>
      </c>
      <c r="AP13" t="str">
        <f>"0"</f>
        <v>0</v>
      </c>
      <c r="AQ13" t="str">
        <f>"5"</f>
        <v>5</v>
      </c>
      <c r="AR13" t="str">
        <f>"5"</f>
        <v>5</v>
      </c>
      <c r="AS13" t="str">
        <f>"5"</f>
        <v>5</v>
      </c>
      <c r="AT13" t="str">
        <f>"5"</f>
        <v>5</v>
      </c>
      <c r="AU13" t="str">
        <f>"Irina.zeib2@mail.ru"</f>
        <v>Irina.zeib2@mail.ru</v>
      </c>
      <c r="AV13" t="str">
        <f>"87478094625"</f>
        <v>87478094625</v>
      </c>
      <c r="AW13" t="s">
        <v>119</v>
      </c>
      <c r="AZ13" t="s">
        <v>211</v>
      </c>
      <c r="BD13" t="s">
        <v>212</v>
      </c>
      <c r="BE13" t="s">
        <v>122</v>
      </c>
      <c r="BF13">
        <v>1.1000000000000001</v>
      </c>
      <c r="BG13" t="str">
        <f>"[19]"</f>
        <v>[19]</v>
      </c>
      <c r="BH13" t="s">
        <v>118</v>
      </c>
      <c r="BI13">
        <v>0</v>
      </c>
      <c r="BN13" t="s">
        <v>161</v>
      </c>
      <c r="BR13" t="s">
        <v>131</v>
      </c>
      <c r="BU13" t="s">
        <v>300</v>
      </c>
      <c r="BV13" t="s">
        <v>301</v>
      </c>
      <c r="BW13" t="s">
        <v>302</v>
      </c>
      <c r="BX13" t="s">
        <v>292</v>
      </c>
      <c r="BY13" t="s">
        <v>293</v>
      </c>
      <c r="BZ13" t="s">
        <v>303</v>
      </c>
      <c r="CA13" t="s">
        <v>304</v>
      </c>
      <c r="CB13" t="s">
        <v>305</v>
      </c>
      <c r="CC13" t="s">
        <v>306</v>
      </c>
      <c r="CD13" t="s">
        <v>171</v>
      </c>
      <c r="CE13" t="s">
        <v>243</v>
      </c>
      <c r="CF13" s="2">
        <v>45383</v>
      </c>
      <c r="CI13" t="str">
        <f t="shared" si="0"/>
        <v>0</v>
      </c>
      <c r="CL13" t="s">
        <v>131</v>
      </c>
      <c r="CN13" t="s">
        <v>132</v>
      </c>
      <c r="CO13" t="s">
        <v>118</v>
      </c>
    </row>
    <row r="14" spans="1:103" x14ac:dyDescent="0.3">
      <c r="A14">
        <v>180710</v>
      </c>
      <c r="B14">
        <v>155797</v>
      </c>
      <c r="C14" t="str">
        <f>"941204451266"</f>
        <v>941204451266</v>
      </c>
      <c r="D14" t="s">
        <v>307</v>
      </c>
      <c r="E14" t="s">
        <v>246</v>
      </c>
      <c r="F14" t="s">
        <v>308</v>
      </c>
      <c r="G14" s="1">
        <v>34672</v>
      </c>
      <c r="I14" t="s">
        <v>106</v>
      </c>
      <c r="J14" t="s">
        <v>107</v>
      </c>
      <c r="K14" t="s">
        <v>108</v>
      </c>
      <c r="P14" t="s">
        <v>109</v>
      </c>
      <c r="W14" t="str">
        <f>"2017-09-18T00:00:00"</f>
        <v>2017-09-18T00:00:00</v>
      </c>
      <c r="X14" t="str">
        <f>"180"</f>
        <v>180</v>
      </c>
      <c r="Z14" t="s">
        <v>206</v>
      </c>
      <c r="AA14" t="s">
        <v>111</v>
      </c>
      <c r="AE14" t="s">
        <v>138</v>
      </c>
      <c r="AF14" t="s">
        <v>113</v>
      </c>
      <c r="AG14">
        <v>1.5</v>
      </c>
      <c r="AH14" t="s">
        <v>114</v>
      </c>
      <c r="AI14" t="s">
        <v>115</v>
      </c>
      <c r="AJ14" t="s">
        <v>116</v>
      </c>
      <c r="AN14" t="s">
        <v>117</v>
      </c>
      <c r="AO14" t="s">
        <v>118</v>
      </c>
      <c r="AP14" t="str">
        <f>"1"</f>
        <v>1</v>
      </c>
      <c r="AQ14" t="str">
        <f>"7"</f>
        <v>7</v>
      </c>
      <c r="AR14" t="str">
        <f>"6"</f>
        <v>6</v>
      </c>
      <c r="AS14" t="str">
        <f>"6"</f>
        <v>6</v>
      </c>
      <c r="AT14" t="str">
        <f>"6"</f>
        <v>6</v>
      </c>
      <c r="AU14" t="str">
        <f>"Shomatovaaltyn@mail.ru"</f>
        <v>Shomatovaaltyn@mail.ru</v>
      </c>
      <c r="AV14" t="str">
        <f>"87474535772"</f>
        <v>87474535772</v>
      </c>
      <c r="AW14" t="s">
        <v>159</v>
      </c>
      <c r="AX14" t="s">
        <v>232</v>
      </c>
      <c r="AZ14" t="s">
        <v>120</v>
      </c>
      <c r="BD14" t="s">
        <v>141</v>
      </c>
      <c r="BE14" t="s">
        <v>122</v>
      </c>
      <c r="BF14">
        <v>1.5</v>
      </c>
      <c r="BG14" t="str">
        <f>"[24]"</f>
        <v>[24]</v>
      </c>
      <c r="BH14" t="s">
        <v>118</v>
      </c>
      <c r="BI14">
        <v>0</v>
      </c>
      <c r="BN14" t="s">
        <v>161</v>
      </c>
      <c r="BR14" t="s">
        <v>131</v>
      </c>
      <c r="BU14" t="s">
        <v>215</v>
      </c>
      <c r="BV14" t="s">
        <v>309</v>
      </c>
      <c r="BW14" t="s">
        <v>310</v>
      </c>
      <c r="BX14" t="s">
        <v>218</v>
      </c>
      <c r="BY14" t="s">
        <v>311</v>
      </c>
      <c r="BZ14" t="s">
        <v>312</v>
      </c>
      <c r="CA14" t="s">
        <v>313</v>
      </c>
      <c r="CB14" t="s">
        <v>314</v>
      </c>
      <c r="CC14" t="s">
        <v>315</v>
      </c>
      <c r="CD14" t="s">
        <v>171</v>
      </c>
      <c r="CE14" t="s">
        <v>316</v>
      </c>
      <c r="CF14" s="2">
        <v>45383</v>
      </c>
      <c r="CI14" t="str">
        <f t="shared" si="0"/>
        <v>0</v>
      </c>
      <c r="CL14" t="s">
        <v>131</v>
      </c>
      <c r="CN14" t="s">
        <v>132</v>
      </c>
      <c r="CO14" t="s">
        <v>185</v>
      </c>
    </row>
    <row r="15" spans="1:103" x14ac:dyDescent="0.3">
      <c r="A15">
        <v>180730</v>
      </c>
      <c r="B15">
        <v>155812</v>
      </c>
      <c r="C15" t="str">
        <f>"470702450302"</f>
        <v>470702450302</v>
      </c>
      <c r="D15" t="s">
        <v>317</v>
      </c>
      <c r="E15" t="s">
        <v>318</v>
      </c>
      <c r="F15" t="s">
        <v>319</v>
      </c>
      <c r="G15" s="1">
        <v>17350</v>
      </c>
      <c r="I15" t="s">
        <v>106</v>
      </c>
      <c r="J15" t="s">
        <v>107</v>
      </c>
      <c r="K15" t="s">
        <v>205</v>
      </c>
      <c r="P15" t="s">
        <v>109</v>
      </c>
      <c r="W15" t="str">
        <f>"1985-10-14T00:00:00"</f>
        <v>1985-10-14T00:00:00</v>
      </c>
      <c r="X15" t="str">
        <f>"81"</f>
        <v>81</v>
      </c>
      <c r="Z15" t="s">
        <v>137</v>
      </c>
      <c r="AA15" t="s">
        <v>111</v>
      </c>
      <c r="AE15" t="s">
        <v>138</v>
      </c>
      <c r="AF15" t="s">
        <v>113</v>
      </c>
      <c r="AG15">
        <v>0.6</v>
      </c>
      <c r="AH15" t="s">
        <v>114</v>
      </c>
      <c r="AI15" t="s">
        <v>115</v>
      </c>
      <c r="AJ15" t="s">
        <v>116</v>
      </c>
      <c r="AN15" t="s">
        <v>117</v>
      </c>
      <c r="AO15" t="s">
        <v>118</v>
      </c>
      <c r="AP15" t="str">
        <f>"16"</f>
        <v>16</v>
      </c>
      <c r="AQ15" t="str">
        <f>"54"</f>
        <v>54</v>
      </c>
      <c r="AR15" t="str">
        <f>"53"</f>
        <v>53</v>
      </c>
      <c r="AS15" t="str">
        <f>"53"</f>
        <v>53</v>
      </c>
      <c r="AT15" t="str">
        <f>"38"</f>
        <v>38</v>
      </c>
      <c r="AU15" t="str">
        <f>"borisova.valentina3@mail.ru"</f>
        <v>borisova.valentina3@mail.ru</v>
      </c>
      <c r="AV15" t="str">
        <f>"87753345904"</f>
        <v>87753345904</v>
      </c>
      <c r="AW15" t="s">
        <v>119</v>
      </c>
      <c r="AZ15" t="s">
        <v>211</v>
      </c>
      <c r="BD15" t="s">
        <v>320</v>
      </c>
      <c r="BE15" t="s">
        <v>122</v>
      </c>
      <c r="BF15">
        <v>0.6</v>
      </c>
      <c r="BG15" t="str">
        <f>"[10]"</f>
        <v>[10]</v>
      </c>
      <c r="BH15" t="s">
        <v>118</v>
      </c>
      <c r="BI15">
        <v>0</v>
      </c>
      <c r="BN15" t="s">
        <v>142</v>
      </c>
      <c r="BR15" t="s">
        <v>131</v>
      </c>
      <c r="BU15" t="s">
        <v>300</v>
      </c>
      <c r="BV15" t="s">
        <v>321</v>
      </c>
      <c r="BW15" t="s">
        <v>291</v>
      </c>
      <c r="BX15" t="s">
        <v>322</v>
      </c>
      <c r="BY15" t="s">
        <v>293</v>
      </c>
      <c r="BZ15" t="s">
        <v>294</v>
      </c>
      <c r="CA15" t="s">
        <v>323</v>
      </c>
      <c r="CB15" t="s">
        <v>324</v>
      </c>
      <c r="CC15" t="s">
        <v>325</v>
      </c>
      <c r="CD15" t="s">
        <v>171</v>
      </c>
      <c r="CE15" t="s">
        <v>326</v>
      </c>
      <c r="CF15" t="s">
        <v>153</v>
      </c>
      <c r="CI15" t="str">
        <f t="shared" si="0"/>
        <v>0</v>
      </c>
      <c r="CL15" t="s">
        <v>136</v>
      </c>
      <c r="CN15" t="s">
        <v>132</v>
      </c>
      <c r="CO15" t="s">
        <v>118</v>
      </c>
    </row>
    <row r="16" spans="1:103" x14ac:dyDescent="0.3">
      <c r="A16">
        <v>180763</v>
      </c>
      <c r="B16">
        <v>155834</v>
      </c>
      <c r="C16" t="str">
        <f>"620825401910"</f>
        <v>620825401910</v>
      </c>
      <c r="D16" t="s">
        <v>327</v>
      </c>
      <c r="E16" t="s">
        <v>328</v>
      </c>
      <c r="F16" t="s">
        <v>329</v>
      </c>
      <c r="G16" s="1">
        <v>22883</v>
      </c>
      <c r="I16" t="s">
        <v>106</v>
      </c>
      <c r="J16" t="s">
        <v>107</v>
      </c>
      <c r="K16" t="s">
        <v>273</v>
      </c>
      <c r="P16" t="s">
        <v>109</v>
      </c>
      <c r="Q16" t="s">
        <v>136</v>
      </c>
      <c r="W16" t="str">
        <f>"1993-09-01T00:00:00"</f>
        <v>1993-09-01T00:00:00</v>
      </c>
      <c r="X16" t="str">
        <f>"174"</f>
        <v>174</v>
      </c>
      <c r="Z16" t="s">
        <v>110</v>
      </c>
      <c r="AA16" t="s">
        <v>111</v>
      </c>
      <c r="AE16" t="s">
        <v>138</v>
      </c>
      <c r="AF16" t="s">
        <v>207</v>
      </c>
      <c r="AG16">
        <v>1.1000000000000001</v>
      </c>
      <c r="AH16" t="s">
        <v>114</v>
      </c>
      <c r="AI16" t="s">
        <v>115</v>
      </c>
      <c r="AJ16" t="s">
        <v>116</v>
      </c>
      <c r="AN16" t="s">
        <v>117</v>
      </c>
      <c r="AO16" t="s">
        <v>118</v>
      </c>
      <c r="AP16" t="str">
        <f>"10"</f>
        <v>10</v>
      </c>
      <c r="AQ16" t="str">
        <f>"40"</f>
        <v>40</v>
      </c>
      <c r="AR16" t="str">
        <f>"40"</f>
        <v>40</v>
      </c>
      <c r="AS16" t="str">
        <f>"40"</f>
        <v>40</v>
      </c>
      <c r="AT16" t="str">
        <f>"30"</f>
        <v>30</v>
      </c>
      <c r="AU16" t="str">
        <f>"nina.goncharova.2012@mail.ru"</f>
        <v>nina.goncharova.2012@mail.ru</v>
      </c>
      <c r="AV16" t="str">
        <f>"87012982150"</f>
        <v>87012982150</v>
      </c>
      <c r="AW16" t="s">
        <v>119</v>
      </c>
      <c r="AX16" t="s">
        <v>330</v>
      </c>
      <c r="AZ16" t="s">
        <v>211</v>
      </c>
      <c r="BD16" t="s">
        <v>212</v>
      </c>
      <c r="BE16" t="s">
        <v>122</v>
      </c>
      <c r="BF16">
        <v>1.1000000000000001</v>
      </c>
      <c r="BG16" t="str">
        <f>"[18]"</f>
        <v>[18]</v>
      </c>
      <c r="BH16" t="s">
        <v>118</v>
      </c>
      <c r="BI16">
        <v>0</v>
      </c>
      <c r="BN16" t="s">
        <v>142</v>
      </c>
      <c r="BR16" t="s">
        <v>131</v>
      </c>
      <c r="BU16" t="s">
        <v>331</v>
      </c>
      <c r="BV16" t="s">
        <v>332</v>
      </c>
      <c r="BW16" t="s">
        <v>333</v>
      </c>
      <c r="BX16" t="s">
        <v>292</v>
      </c>
      <c r="BY16" t="s">
        <v>293</v>
      </c>
      <c r="BZ16" t="s">
        <v>334</v>
      </c>
      <c r="CA16" t="s">
        <v>335</v>
      </c>
      <c r="CB16" t="s">
        <v>336</v>
      </c>
      <c r="CC16" t="s">
        <v>337</v>
      </c>
      <c r="CD16" t="s">
        <v>212</v>
      </c>
      <c r="CE16" t="s">
        <v>338</v>
      </c>
      <c r="CF16" s="2">
        <v>45383</v>
      </c>
      <c r="CI16" t="str">
        <f t="shared" si="0"/>
        <v>0</v>
      </c>
      <c r="CL16" t="s">
        <v>131</v>
      </c>
      <c r="CN16" t="s">
        <v>132</v>
      </c>
      <c r="CO16" t="s">
        <v>118</v>
      </c>
    </row>
    <row r="17" spans="1:93" x14ac:dyDescent="0.3">
      <c r="A17">
        <v>180770</v>
      </c>
      <c r="B17">
        <v>155837</v>
      </c>
      <c r="C17" t="str">
        <f>"670308401245"</f>
        <v>670308401245</v>
      </c>
      <c r="D17" t="s">
        <v>339</v>
      </c>
      <c r="E17" t="s">
        <v>340</v>
      </c>
      <c r="F17" t="s">
        <v>341</v>
      </c>
      <c r="G17" s="1">
        <v>24539</v>
      </c>
      <c r="I17" t="s">
        <v>106</v>
      </c>
      <c r="J17" t="s">
        <v>107</v>
      </c>
      <c r="K17" t="s">
        <v>273</v>
      </c>
      <c r="P17" t="s">
        <v>109</v>
      </c>
      <c r="Q17" t="s">
        <v>136</v>
      </c>
      <c r="W17" t="str">
        <f>"1992-03-20T00:00:00"</f>
        <v>1992-03-20T00:00:00</v>
      </c>
      <c r="X17" t="str">
        <f>"69"</f>
        <v>69</v>
      </c>
      <c r="Z17" t="s">
        <v>342</v>
      </c>
      <c r="AA17" t="s">
        <v>111</v>
      </c>
      <c r="AE17" t="s">
        <v>138</v>
      </c>
      <c r="AF17" t="s">
        <v>113</v>
      </c>
      <c r="AG17">
        <v>1.5</v>
      </c>
      <c r="AH17" t="s">
        <v>114</v>
      </c>
      <c r="AI17" t="s">
        <v>115</v>
      </c>
      <c r="AJ17" t="s">
        <v>116</v>
      </c>
      <c r="AN17" t="s">
        <v>117</v>
      </c>
      <c r="AO17" t="s">
        <v>118</v>
      </c>
      <c r="AP17" t="str">
        <f>"3"</f>
        <v>3</v>
      </c>
      <c r="AQ17" t="str">
        <f>"34"</f>
        <v>34</v>
      </c>
      <c r="AR17" t="str">
        <f>"33"</f>
        <v>33</v>
      </c>
      <c r="AS17" t="str">
        <f>"33"</f>
        <v>33</v>
      </c>
      <c r="AT17" t="str">
        <f>"31"</f>
        <v>31</v>
      </c>
      <c r="AU17" t="str">
        <f>"lusi.08@mail.ru"</f>
        <v>lusi.08@mail.ru</v>
      </c>
      <c r="AV17" t="str">
        <f>"87083276204"</f>
        <v>87083276204</v>
      </c>
      <c r="AW17" t="s">
        <v>139</v>
      </c>
      <c r="AX17" t="s">
        <v>232</v>
      </c>
      <c r="AZ17" t="s">
        <v>211</v>
      </c>
      <c r="BD17" t="s">
        <v>343</v>
      </c>
      <c r="BE17" t="s">
        <v>122</v>
      </c>
      <c r="BF17">
        <v>1.5</v>
      </c>
      <c r="BG17" t="str">
        <f>"[24]"</f>
        <v>[24]</v>
      </c>
      <c r="BH17" t="s">
        <v>118</v>
      </c>
      <c r="BI17">
        <v>0</v>
      </c>
      <c r="BN17" t="s">
        <v>161</v>
      </c>
      <c r="BR17" t="s">
        <v>131</v>
      </c>
      <c r="BU17" t="s">
        <v>178</v>
      </c>
      <c r="BV17" t="s">
        <v>344</v>
      </c>
      <c r="BW17" t="s">
        <v>345</v>
      </c>
      <c r="BX17" t="s">
        <v>146</v>
      </c>
      <c r="BY17" t="s">
        <v>346</v>
      </c>
      <c r="BZ17" t="s">
        <v>347</v>
      </c>
      <c r="CA17" t="s">
        <v>348</v>
      </c>
      <c r="CB17" t="s">
        <v>349</v>
      </c>
      <c r="CC17" t="s">
        <v>350</v>
      </c>
      <c r="CD17" t="s">
        <v>343</v>
      </c>
      <c r="CE17" t="s">
        <v>351</v>
      </c>
      <c r="CF17" t="s">
        <v>153</v>
      </c>
      <c r="CI17" t="str">
        <f t="shared" si="0"/>
        <v>0</v>
      </c>
      <c r="CL17" t="s">
        <v>131</v>
      </c>
      <c r="CN17" t="s">
        <v>132</v>
      </c>
      <c r="CO17" t="s">
        <v>118</v>
      </c>
    </row>
    <row r="18" spans="1:93" x14ac:dyDescent="0.3">
      <c r="A18">
        <v>180791</v>
      </c>
      <c r="B18">
        <v>155856</v>
      </c>
      <c r="C18" t="str">
        <f>"630215450032"</f>
        <v>630215450032</v>
      </c>
      <c r="D18" t="s">
        <v>352</v>
      </c>
      <c r="E18" t="s">
        <v>353</v>
      </c>
      <c r="F18" t="s">
        <v>354</v>
      </c>
      <c r="G18" s="1">
        <v>23057</v>
      </c>
      <c r="I18" t="s">
        <v>106</v>
      </c>
      <c r="J18" t="s">
        <v>107</v>
      </c>
      <c r="K18" t="s">
        <v>108</v>
      </c>
      <c r="P18" t="s">
        <v>109</v>
      </c>
      <c r="W18" t="str">
        <f>"1987-08-25T00:00:00"</f>
        <v>1987-08-25T00:00:00</v>
      </c>
      <c r="X18" t="str">
        <f>"143/8"</f>
        <v>143/8</v>
      </c>
      <c r="Z18" t="s">
        <v>175</v>
      </c>
      <c r="AA18" t="s">
        <v>111</v>
      </c>
      <c r="AE18" t="s">
        <v>138</v>
      </c>
      <c r="AF18" t="s">
        <v>113</v>
      </c>
      <c r="AG18">
        <v>1.5</v>
      </c>
      <c r="AH18" t="s">
        <v>114</v>
      </c>
      <c r="AI18" t="s">
        <v>115</v>
      </c>
      <c r="AJ18" t="s">
        <v>116</v>
      </c>
      <c r="AN18" t="s">
        <v>117</v>
      </c>
      <c r="AO18" t="s">
        <v>118</v>
      </c>
      <c r="AP18" t="str">
        <f>"0"</f>
        <v>0</v>
      </c>
      <c r="AQ18" t="str">
        <f>"36"</f>
        <v>36</v>
      </c>
      <c r="AR18" t="str">
        <f>"36"</f>
        <v>36</v>
      </c>
      <c r="AS18" t="str">
        <f>"36"</f>
        <v>36</v>
      </c>
      <c r="AT18" t="str">
        <f>"36"</f>
        <v>36</v>
      </c>
      <c r="AU18" t="str">
        <f>"kakimovant@mail.ru"</f>
        <v>kakimovant@mail.ru</v>
      </c>
      <c r="AV18" t="str">
        <f>"87472258992"</f>
        <v>87472258992</v>
      </c>
      <c r="AW18" t="s">
        <v>231</v>
      </c>
      <c r="AX18" t="s">
        <v>232</v>
      </c>
      <c r="AZ18" t="s">
        <v>211</v>
      </c>
      <c r="BD18" t="s">
        <v>355</v>
      </c>
      <c r="BE18" t="s">
        <v>122</v>
      </c>
      <c r="BF18">
        <v>1.5</v>
      </c>
      <c r="BG18" t="str">
        <f>"[24]"</f>
        <v>[24]</v>
      </c>
      <c r="BH18" t="s">
        <v>118</v>
      </c>
      <c r="BI18">
        <v>0</v>
      </c>
      <c r="BN18" t="s">
        <v>161</v>
      </c>
      <c r="BR18" t="s">
        <v>131</v>
      </c>
      <c r="BU18" t="s">
        <v>356</v>
      </c>
      <c r="BV18" t="s">
        <v>357</v>
      </c>
      <c r="BW18" t="s">
        <v>358</v>
      </c>
      <c r="BX18" t="s">
        <v>359</v>
      </c>
      <c r="BY18" t="s">
        <v>360</v>
      </c>
      <c r="BZ18" t="s">
        <v>361</v>
      </c>
      <c r="CA18" t="s">
        <v>362</v>
      </c>
      <c r="CB18" t="s">
        <v>363</v>
      </c>
      <c r="CC18" t="s">
        <v>364</v>
      </c>
      <c r="CD18" t="s">
        <v>355</v>
      </c>
      <c r="CE18" t="s">
        <v>365</v>
      </c>
      <c r="CF18" t="s">
        <v>153</v>
      </c>
      <c r="CI18" t="str">
        <f t="shared" si="0"/>
        <v>0</v>
      </c>
      <c r="CL18" t="s">
        <v>131</v>
      </c>
      <c r="CN18" t="s">
        <v>132</v>
      </c>
      <c r="CO18" t="s">
        <v>118</v>
      </c>
    </row>
    <row r="19" spans="1:93" x14ac:dyDescent="0.3">
      <c r="A19">
        <v>180818</v>
      </c>
      <c r="B19">
        <v>155880</v>
      </c>
      <c r="C19" t="str">
        <f>"620817450132"</f>
        <v>620817450132</v>
      </c>
      <c r="D19" t="s">
        <v>366</v>
      </c>
      <c r="E19" t="s">
        <v>367</v>
      </c>
      <c r="F19" t="s">
        <v>368</v>
      </c>
      <c r="G19" s="1">
        <v>22875</v>
      </c>
      <c r="I19" t="s">
        <v>106</v>
      </c>
      <c r="J19" t="s">
        <v>107</v>
      </c>
      <c r="K19" t="s">
        <v>205</v>
      </c>
      <c r="P19" t="s">
        <v>109</v>
      </c>
      <c r="W19" t="str">
        <f>"1987-08-24T00:00:00"</f>
        <v>1987-08-24T00:00:00</v>
      </c>
      <c r="X19" t="str">
        <f>"150/4"</f>
        <v>150/4</v>
      </c>
      <c r="Z19" t="s">
        <v>110</v>
      </c>
      <c r="AA19" t="s">
        <v>111</v>
      </c>
      <c r="AE19" t="s">
        <v>138</v>
      </c>
      <c r="AF19" t="s">
        <v>113</v>
      </c>
      <c r="AG19">
        <v>1.5</v>
      </c>
      <c r="AH19" t="s">
        <v>114</v>
      </c>
      <c r="AI19" t="s">
        <v>115</v>
      </c>
      <c r="AJ19" t="s">
        <v>116</v>
      </c>
      <c r="AN19" t="s">
        <v>117</v>
      </c>
      <c r="AO19" t="s">
        <v>118</v>
      </c>
      <c r="AP19" t="str">
        <f>"3"</f>
        <v>3</v>
      </c>
      <c r="AQ19" t="str">
        <f>"39"</f>
        <v>39</v>
      </c>
      <c r="AR19" t="str">
        <f>"39"</f>
        <v>39</v>
      </c>
      <c r="AS19" t="str">
        <f>"39"</f>
        <v>39</v>
      </c>
      <c r="AT19" t="str">
        <f>"36"</f>
        <v>36</v>
      </c>
      <c r="AU19" t="str">
        <f>"natalia_17_08_62@mair.ru"</f>
        <v>natalia_17_08_62@mair.ru</v>
      </c>
      <c r="AV19" t="str">
        <f>"87779835801"</f>
        <v>87779835801</v>
      </c>
      <c r="AW19" t="s">
        <v>119</v>
      </c>
      <c r="AX19" t="s">
        <v>330</v>
      </c>
      <c r="AZ19" t="s">
        <v>211</v>
      </c>
      <c r="BD19" t="s">
        <v>320</v>
      </c>
      <c r="BE19" t="s">
        <v>122</v>
      </c>
      <c r="BF19">
        <v>1.5</v>
      </c>
      <c r="BG19" t="str">
        <f>"[24]"</f>
        <v>[24]</v>
      </c>
      <c r="BH19" t="s">
        <v>118</v>
      </c>
      <c r="BI19">
        <v>0</v>
      </c>
      <c r="BN19" t="s">
        <v>275</v>
      </c>
      <c r="BR19" t="s">
        <v>131</v>
      </c>
      <c r="BU19" t="s">
        <v>331</v>
      </c>
      <c r="BV19" t="s">
        <v>321</v>
      </c>
      <c r="BW19" t="s">
        <v>333</v>
      </c>
      <c r="BX19" t="s">
        <v>292</v>
      </c>
      <c r="BY19" t="s">
        <v>293</v>
      </c>
      <c r="BZ19" t="s">
        <v>369</v>
      </c>
      <c r="CA19" t="s">
        <v>370</v>
      </c>
      <c r="CB19" t="s">
        <v>371</v>
      </c>
      <c r="CC19" t="s">
        <v>372</v>
      </c>
      <c r="CD19" t="s">
        <v>320</v>
      </c>
      <c r="CE19" t="s">
        <v>373</v>
      </c>
      <c r="CF19" t="s">
        <v>153</v>
      </c>
      <c r="CI19" t="str">
        <f t="shared" si="0"/>
        <v>0</v>
      </c>
      <c r="CL19" t="s">
        <v>136</v>
      </c>
      <c r="CN19" t="s">
        <v>132</v>
      </c>
      <c r="CO19" t="s">
        <v>118</v>
      </c>
    </row>
    <row r="20" spans="1:93" x14ac:dyDescent="0.3">
      <c r="A20">
        <v>180851</v>
      </c>
      <c r="B20">
        <v>155905</v>
      </c>
      <c r="C20" t="str">
        <f>"650117401451"</f>
        <v>650117401451</v>
      </c>
      <c r="D20" t="s">
        <v>374</v>
      </c>
      <c r="E20" t="s">
        <v>375</v>
      </c>
      <c r="F20" t="s">
        <v>376</v>
      </c>
      <c r="G20" s="1">
        <v>23759</v>
      </c>
      <c r="I20" t="s">
        <v>106</v>
      </c>
      <c r="J20" t="s">
        <v>107</v>
      </c>
      <c r="K20" t="s">
        <v>205</v>
      </c>
      <c r="P20" t="s">
        <v>109</v>
      </c>
      <c r="W20" t="str">
        <f>"1987-07-30T00:00:00"</f>
        <v>1987-07-30T00:00:00</v>
      </c>
      <c r="X20" t="str">
        <f>"140/4"</f>
        <v>140/4</v>
      </c>
      <c r="Z20" t="s">
        <v>175</v>
      </c>
      <c r="AA20" t="s">
        <v>111</v>
      </c>
      <c r="AE20" t="s">
        <v>138</v>
      </c>
      <c r="AF20" t="s">
        <v>207</v>
      </c>
      <c r="AG20">
        <v>1.4</v>
      </c>
      <c r="AH20" t="s">
        <v>114</v>
      </c>
      <c r="AI20" t="s">
        <v>115</v>
      </c>
      <c r="AJ20" t="s">
        <v>116</v>
      </c>
      <c r="AN20" t="s">
        <v>117</v>
      </c>
      <c r="AO20" t="s">
        <v>118</v>
      </c>
      <c r="AP20" t="str">
        <f>"1"</f>
        <v>1</v>
      </c>
      <c r="AQ20" t="str">
        <f>"37"</f>
        <v>37</v>
      </c>
      <c r="AR20" t="str">
        <f>"37"</f>
        <v>37</v>
      </c>
      <c r="AS20" t="str">
        <f>"37"</f>
        <v>37</v>
      </c>
      <c r="AT20" t="str">
        <f>"36"</f>
        <v>36</v>
      </c>
      <c r="AU20" t="str">
        <f>"Teacher_17@mail.ru"</f>
        <v>Teacher_17@mail.ru</v>
      </c>
      <c r="AV20" t="str">
        <f>"87012511356"</f>
        <v>87012511356</v>
      </c>
      <c r="AW20" t="s">
        <v>139</v>
      </c>
      <c r="AX20" t="s">
        <v>160</v>
      </c>
      <c r="AZ20" t="s">
        <v>211</v>
      </c>
      <c r="BD20" t="s">
        <v>212</v>
      </c>
      <c r="BE20" t="s">
        <v>122</v>
      </c>
      <c r="BF20">
        <v>1.4</v>
      </c>
      <c r="BG20" t="str">
        <f>"[21]"</f>
        <v>[21]</v>
      </c>
      <c r="BH20" t="s">
        <v>118</v>
      </c>
      <c r="BI20">
        <v>0</v>
      </c>
      <c r="BN20" t="s">
        <v>275</v>
      </c>
      <c r="BR20" t="s">
        <v>131</v>
      </c>
      <c r="BU20" t="s">
        <v>377</v>
      </c>
      <c r="BV20" t="s">
        <v>378</v>
      </c>
      <c r="BW20" t="s">
        <v>379</v>
      </c>
      <c r="BX20" t="s">
        <v>250</v>
      </c>
      <c r="BY20" t="s">
        <v>279</v>
      </c>
      <c r="BZ20" t="s">
        <v>380</v>
      </c>
      <c r="CA20" t="s">
        <v>381</v>
      </c>
      <c r="CB20" t="s">
        <v>382</v>
      </c>
      <c r="CC20" t="s">
        <v>383</v>
      </c>
      <c r="CD20" t="s">
        <v>171</v>
      </c>
      <c r="CE20" t="s">
        <v>384</v>
      </c>
      <c r="CF20" s="2">
        <v>45383</v>
      </c>
      <c r="CI20" t="str">
        <f t="shared" si="0"/>
        <v>0</v>
      </c>
      <c r="CL20" t="s">
        <v>131</v>
      </c>
      <c r="CN20" t="s">
        <v>132</v>
      </c>
      <c r="CO20" t="s">
        <v>244</v>
      </c>
    </row>
    <row r="21" spans="1:93" x14ac:dyDescent="0.3">
      <c r="A21">
        <v>180876</v>
      </c>
      <c r="B21">
        <v>155920</v>
      </c>
      <c r="C21" t="str">
        <f>"630329450339"</f>
        <v>630329450339</v>
      </c>
      <c r="D21" t="s">
        <v>385</v>
      </c>
      <c r="E21" t="s">
        <v>271</v>
      </c>
      <c r="F21" t="s">
        <v>368</v>
      </c>
      <c r="G21" s="1">
        <v>23099</v>
      </c>
      <c r="I21" t="s">
        <v>106</v>
      </c>
      <c r="J21" t="s">
        <v>107</v>
      </c>
      <c r="K21" t="s">
        <v>205</v>
      </c>
      <c r="P21" t="s">
        <v>109</v>
      </c>
      <c r="W21" t="str">
        <f>"1984-08-22T00:00:00"</f>
        <v>1984-08-22T00:00:00</v>
      </c>
      <c r="X21" t="str">
        <f>"238/04"</f>
        <v>238/04</v>
      </c>
      <c r="Z21" t="s">
        <v>175</v>
      </c>
      <c r="AA21" t="s">
        <v>111</v>
      </c>
      <c r="AE21" t="s">
        <v>138</v>
      </c>
      <c r="AF21" t="s">
        <v>207</v>
      </c>
      <c r="AG21">
        <v>1.3</v>
      </c>
      <c r="AH21" t="s">
        <v>114</v>
      </c>
      <c r="AI21" t="s">
        <v>115</v>
      </c>
      <c r="AJ21" t="s">
        <v>116</v>
      </c>
      <c r="AN21" t="s">
        <v>117</v>
      </c>
      <c r="AO21" t="s">
        <v>118</v>
      </c>
      <c r="AP21" t="str">
        <f>"0"</f>
        <v>0</v>
      </c>
      <c r="AQ21" t="str">
        <f>"39"</f>
        <v>39</v>
      </c>
      <c r="AR21" t="str">
        <f>"39"</f>
        <v>39</v>
      </c>
      <c r="AS21" t="str">
        <f>"39"</f>
        <v>39</v>
      </c>
      <c r="AT21" t="str">
        <f>"39"</f>
        <v>39</v>
      </c>
      <c r="AU21" t="str">
        <f>"tanya_tany_a@inboxr.ru"</f>
        <v>tanya_tany_a@inboxr.ru</v>
      </c>
      <c r="AV21" t="str">
        <f>"87011491011"</f>
        <v>87011491011</v>
      </c>
      <c r="AW21" t="s">
        <v>139</v>
      </c>
      <c r="AX21" t="s">
        <v>209</v>
      </c>
      <c r="AZ21" t="s">
        <v>211</v>
      </c>
      <c r="BD21" t="s">
        <v>212</v>
      </c>
      <c r="BE21" t="s">
        <v>122</v>
      </c>
      <c r="BF21">
        <v>1.3</v>
      </c>
      <c r="BG21" t="str">
        <f>"[20]"</f>
        <v>[20]</v>
      </c>
      <c r="BH21" t="s">
        <v>118</v>
      </c>
      <c r="BI21">
        <v>0</v>
      </c>
      <c r="BN21" t="s">
        <v>161</v>
      </c>
      <c r="BR21" t="s">
        <v>131</v>
      </c>
      <c r="BU21" t="s">
        <v>300</v>
      </c>
      <c r="BV21" t="s">
        <v>332</v>
      </c>
      <c r="BW21" t="s">
        <v>291</v>
      </c>
      <c r="BX21" t="s">
        <v>292</v>
      </c>
      <c r="BY21" t="s">
        <v>293</v>
      </c>
      <c r="BZ21" t="s">
        <v>334</v>
      </c>
      <c r="CA21" t="s">
        <v>386</v>
      </c>
      <c r="CB21" t="s">
        <v>387</v>
      </c>
      <c r="CC21" t="s">
        <v>388</v>
      </c>
      <c r="CD21" t="s">
        <v>171</v>
      </c>
      <c r="CE21" t="s">
        <v>243</v>
      </c>
      <c r="CF21" s="2">
        <v>45383</v>
      </c>
      <c r="CI21" t="str">
        <f t="shared" si="0"/>
        <v>0</v>
      </c>
      <c r="CL21" t="s">
        <v>131</v>
      </c>
      <c r="CN21" t="s">
        <v>132</v>
      </c>
      <c r="CO21" t="s">
        <v>118</v>
      </c>
    </row>
    <row r="22" spans="1:93" x14ac:dyDescent="0.3">
      <c r="A22">
        <v>180889</v>
      </c>
      <c r="B22">
        <v>155930</v>
      </c>
      <c r="C22" t="str">
        <f>"731112450303"</f>
        <v>731112450303</v>
      </c>
      <c r="D22" t="s">
        <v>389</v>
      </c>
      <c r="E22" t="s">
        <v>390</v>
      </c>
      <c r="F22" t="s">
        <v>391</v>
      </c>
      <c r="G22" s="1">
        <v>26980</v>
      </c>
      <c r="I22" t="s">
        <v>106</v>
      </c>
      <c r="J22" t="s">
        <v>107</v>
      </c>
      <c r="K22" t="s">
        <v>392</v>
      </c>
      <c r="P22" t="s">
        <v>109</v>
      </c>
      <c r="Q22" t="s">
        <v>131</v>
      </c>
      <c r="R22" t="s">
        <v>393</v>
      </c>
      <c r="S22" t="s">
        <v>394</v>
      </c>
      <c r="T22" t="s">
        <v>395</v>
      </c>
      <c r="U22" t="str">
        <f>"2022-12-27T16:03:50"</f>
        <v>2022-12-27T16:03:50</v>
      </c>
      <c r="V22" t="str">
        <f>"2023-12-27T00:00:00"</f>
        <v>2023-12-27T00:00:00</v>
      </c>
      <c r="W22" t="str">
        <f>"2005-08-25T00:00:00"</f>
        <v>2005-08-25T00:00:00</v>
      </c>
      <c r="X22" t="str">
        <f>"28"</f>
        <v>28</v>
      </c>
      <c r="Z22" t="s">
        <v>396</v>
      </c>
      <c r="AA22" t="s">
        <v>111</v>
      </c>
      <c r="AE22" t="s">
        <v>138</v>
      </c>
      <c r="AF22" t="s">
        <v>113</v>
      </c>
      <c r="AG22">
        <v>1.5</v>
      </c>
      <c r="AH22" t="s">
        <v>114</v>
      </c>
      <c r="AI22" t="s">
        <v>115</v>
      </c>
      <c r="AJ22" t="s">
        <v>116</v>
      </c>
      <c r="AN22" t="s">
        <v>117</v>
      </c>
      <c r="AO22" t="s">
        <v>118</v>
      </c>
      <c r="AP22" t="str">
        <f>"15"</f>
        <v>15</v>
      </c>
      <c r="AQ22" t="str">
        <f>"33"</f>
        <v>33</v>
      </c>
      <c r="AR22" t="str">
        <f>"33"</f>
        <v>33</v>
      </c>
      <c r="AS22" t="str">
        <f>"33"</f>
        <v>33</v>
      </c>
      <c r="AT22" t="str">
        <f>"18"</f>
        <v>18</v>
      </c>
      <c r="AU22" t="str">
        <f>"vaierya.1973@mail.ru"</f>
        <v>vaierya.1973@mail.ru</v>
      </c>
      <c r="AV22" t="str">
        <f>"87089948414"</f>
        <v>87089948414</v>
      </c>
      <c r="AW22" t="s">
        <v>159</v>
      </c>
      <c r="AX22" t="s">
        <v>232</v>
      </c>
      <c r="AZ22" t="s">
        <v>211</v>
      </c>
      <c r="BD22" t="s">
        <v>397</v>
      </c>
      <c r="BE22" t="s">
        <v>122</v>
      </c>
      <c r="BF22">
        <v>1.5</v>
      </c>
      <c r="BG22" t="str">
        <f>"[24]"</f>
        <v>[24]</v>
      </c>
      <c r="BH22" t="s">
        <v>118</v>
      </c>
      <c r="BI22">
        <v>0</v>
      </c>
      <c r="BN22" t="s">
        <v>275</v>
      </c>
      <c r="BR22" t="s">
        <v>131</v>
      </c>
      <c r="BU22" t="s">
        <v>398</v>
      </c>
      <c r="BV22" t="s">
        <v>399</v>
      </c>
      <c r="BW22" t="s">
        <v>400</v>
      </c>
      <c r="BX22" t="s">
        <v>218</v>
      </c>
      <c r="BY22" t="s">
        <v>219</v>
      </c>
      <c r="BZ22" t="s">
        <v>401</v>
      </c>
      <c r="CA22" t="s">
        <v>402</v>
      </c>
      <c r="CB22" t="s">
        <v>403</v>
      </c>
      <c r="CC22" t="s">
        <v>404</v>
      </c>
      <c r="CD22" t="s">
        <v>405</v>
      </c>
      <c r="CE22" t="s">
        <v>406</v>
      </c>
      <c r="CF22" t="s">
        <v>153</v>
      </c>
      <c r="CI22" t="str">
        <f t="shared" si="0"/>
        <v>0</v>
      </c>
      <c r="CL22" t="s">
        <v>136</v>
      </c>
      <c r="CN22" t="s">
        <v>132</v>
      </c>
      <c r="CO22" t="s">
        <v>118</v>
      </c>
    </row>
    <row r="23" spans="1:93" x14ac:dyDescent="0.3">
      <c r="A23">
        <v>180902</v>
      </c>
      <c r="B23">
        <v>155939</v>
      </c>
      <c r="C23" t="str">
        <f>"681117401648"</f>
        <v>681117401648</v>
      </c>
      <c r="D23" t="s">
        <v>407</v>
      </c>
      <c r="E23" t="s">
        <v>375</v>
      </c>
      <c r="F23" t="s">
        <v>408</v>
      </c>
      <c r="G23" s="1">
        <v>25159</v>
      </c>
      <c r="I23" t="s">
        <v>106</v>
      </c>
      <c r="J23" t="s">
        <v>107</v>
      </c>
      <c r="K23" t="s">
        <v>205</v>
      </c>
      <c r="P23" t="s">
        <v>109</v>
      </c>
      <c r="W23" t="str">
        <f>"2005-08-26T00:00:00"</f>
        <v>2005-08-26T00:00:00</v>
      </c>
      <c r="X23" t="str">
        <f>"148"</f>
        <v>148</v>
      </c>
      <c r="Z23" t="s">
        <v>396</v>
      </c>
      <c r="AA23" t="s">
        <v>111</v>
      </c>
      <c r="AE23" t="s">
        <v>138</v>
      </c>
      <c r="AF23" t="s">
        <v>207</v>
      </c>
      <c r="AG23">
        <v>1.1000000000000001</v>
      </c>
      <c r="AH23" t="s">
        <v>114</v>
      </c>
      <c r="AI23" t="s">
        <v>115</v>
      </c>
      <c r="AJ23" t="s">
        <v>208</v>
      </c>
      <c r="AN23" t="s">
        <v>117</v>
      </c>
      <c r="AO23" t="s">
        <v>118</v>
      </c>
      <c r="AP23" t="str">
        <f>"10"</f>
        <v>10</v>
      </c>
      <c r="AQ23" t="str">
        <f>"28"</f>
        <v>28</v>
      </c>
      <c r="AR23" t="str">
        <f>"18"</f>
        <v>18</v>
      </c>
      <c r="AS23" t="str">
        <f>"18"</f>
        <v>18</v>
      </c>
      <c r="AT23" t="str">
        <f>"18"</f>
        <v>18</v>
      </c>
      <c r="AU23" t="str">
        <f>"lenkaledi@mail.ru"</f>
        <v>lenkaledi@mail.ru</v>
      </c>
      <c r="AV23" t="str">
        <f>"87712976067"</f>
        <v>87712976067</v>
      </c>
      <c r="AW23" t="s">
        <v>159</v>
      </c>
      <c r="AX23" t="s">
        <v>232</v>
      </c>
      <c r="AZ23" t="s">
        <v>211</v>
      </c>
      <c r="BD23" t="s">
        <v>212</v>
      </c>
      <c r="BE23" t="s">
        <v>213</v>
      </c>
      <c r="BF23">
        <v>1.1000000000000001</v>
      </c>
      <c r="BG23" t="str">
        <f>"[17]"</f>
        <v>[17]</v>
      </c>
      <c r="BH23" t="s">
        <v>118</v>
      </c>
      <c r="BI23">
        <v>0</v>
      </c>
      <c r="BN23" t="s">
        <v>275</v>
      </c>
      <c r="BR23" t="s">
        <v>131</v>
      </c>
      <c r="BU23" t="s">
        <v>409</v>
      </c>
      <c r="BV23" t="s">
        <v>410</v>
      </c>
      <c r="BW23" t="s">
        <v>411</v>
      </c>
      <c r="BX23" t="s">
        <v>412</v>
      </c>
      <c r="BY23" t="s">
        <v>413</v>
      </c>
      <c r="BZ23" t="s">
        <v>414</v>
      </c>
      <c r="CA23" t="s">
        <v>415</v>
      </c>
      <c r="CB23" t="s">
        <v>416</v>
      </c>
      <c r="CC23" t="s">
        <v>417</v>
      </c>
      <c r="CD23" t="s">
        <v>418</v>
      </c>
      <c r="CE23" t="s">
        <v>224</v>
      </c>
      <c r="CF23" s="2">
        <v>45383</v>
      </c>
      <c r="CI23" t="str">
        <f t="shared" si="0"/>
        <v>0</v>
      </c>
      <c r="CL23" t="s">
        <v>131</v>
      </c>
      <c r="CN23" t="s">
        <v>132</v>
      </c>
      <c r="CO23" t="s">
        <v>118</v>
      </c>
    </row>
    <row r="24" spans="1:93" x14ac:dyDescent="0.3">
      <c r="A24">
        <v>180908</v>
      </c>
      <c r="B24">
        <v>155942</v>
      </c>
      <c r="C24" t="str">
        <f>"720610499100"</f>
        <v>720610499100</v>
      </c>
      <c r="D24" t="s">
        <v>419</v>
      </c>
      <c r="E24" t="s">
        <v>420</v>
      </c>
      <c r="F24" t="s">
        <v>421</v>
      </c>
      <c r="G24" s="1">
        <v>26460</v>
      </c>
      <c r="I24" t="s">
        <v>106</v>
      </c>
      <c r="J24" t="s">
        <v>107</v>
      </c>
      <c r="K24" t="s">
        <v>108</v>
      </c>
      <c r="P24" t="s">
        <v>109</v>
      </c>
      <c r="W24" t="str">
        <f>"2011-08-25T00:00:00"</f>
        <v>2011-08-25T00:00:00</v>
      </c>
      <c r="X24" t="str">
        <f>"94"</f>
        <v>94</v>
      </c>
      <c r="Z24" t="s">
        <v>422</v>
      </c>
      <c r="AA24" t="s">
        <v>111</v>
      </c>
      <c r="AE24" t="s">
        <v>138</v>
      </c>
      <c r="AF24" t="s">
        <v>207</v>
      </c>
      <c r="AG24">
        <v>1.1000000000000001</v>
      </c>
      <c r="AH24" t="s">
        <v>114</v>
      </c>
      <c r="AI24" t="s">
        <v>115</v>
      </c>
      <c r="AJ24" t="s">
        <v>116</v>
      </c>
      <c r="AN24" t="s">
        <v>117</v>
      </c>
      <c r="AO24" t="s">
        <v>118</v>
      </c>
      <c r="AP24" t="str">
        <f>"21"</f>
        <v>21</v>
      </c>
      <c r="AQ24" t="str">
        <f>"33"</f>
        <v>33</v>
      </c>
      <c r="AR24" t="str">
        <f>"32"</f>
        <v>32</v>
      </c>
      <c r="AS24" t="str">
        <f>"32"</f>
        <v>32</v>
      </c>
      <c r="AT24" t="str">
        <f>"12"</f>
        <v>12</v>
      </c>
      <c r="AU24" t="str">
        <f>"b.n.k777@bk.ru"</f>
        <v>b.n.k777@bk.ru</v>
      </c>
      <c r="AV24" t="str">
        <f>"87055839395"</f>
        <v>87055839395</v>
      </c>
      <c r="AW24" t="s">
        <v>139</v>
      </c>
      <c r="AX24" t="s">
        <v>423</v>
      </c>
      <c r="AZ24" t="s">
        <v>189</v>
      </c>
      <c r="BD24" t="s">
        <v>212</v>
      </c>
      <c r="BE24" t="s">
        <v>122</v>
      </c>
      <c r="BF24">
        <v>1.1000000000000001</v>
      </c>
      <c r="BG24" t="str">
        <f>"[18]"</f>
        <v>[18]</v>
      </c>
      <c r="BH24" t="s">
        <v>113</v>
      </c>
      <c r="BI24">
        <v>0.4</v>
      </c>
      <c r="BJ24" t="s">
        <v>119</v>
      </c>
      <c r="BL24" t="s">
        <v>424</v>
      </c>
      <c r="BM24">
        <v>0.4</v>
      </c>
      <c r="BN24" t="s">
        <v>161</v>
      </c>
      <c r="BR24" t="s">
        <v>131</v>
      </c>
      <c r="BU24" t="s">
        <v>425</v>
      </c>
      <c r="BV24" t="s">
        <v>426</v>
      </c>
      <c r="BW24" t="s">
        <v>310</v>
      </c>
      <c r="BX24" t="s">
        <v>218</v>
      </c>
      <c r="BY24" t="s">
        <v>311</v>
      </c>
      <c r="BZ24" t="s">
        <v>427</v>
      </c>
      <c r="CA24" t="s">
        <v>428</v>
      </c>
      <c r="CB24" t="s">
        <v>429</v>
      </c>
      <c r="CC24" t="s">
        <v>430</v>
      </c>
      <c r="CD24" t="s">
        <v>171</v>
      </c>
      <c r="CE24" t="s">
        <v>431</v>
      </c>
      <c r="CF24" s="2">
        <v>45383</v>
      </c>
      <c r="CI24" t="str">
        <f t="shared" si="0"/>
        <v>0</v>
      </c>
      <c r="CL24" t="s">
        <v>131</v>
      </c>
      <c r="CN24" t="s">
        <v>132</v>
      </c>
      <c r="CO24" t="s">
        <v>118</v>
      </c>
    </row>
    <row r="25" spans="1:93" x14ac:dyDescent="0.3">
      <c r="A25">
        <v>180982</v>
      </c>
      <c r="B25">
        <v>155997</v>
      </c>
      <c r="C25" t="str">
        <f>"810429450163"</f>
        <v>810429450163</v>
      </c>
      <c r="D25" t="s">
        <v>432</v>
      </c>
      <c r="E25" t="s">
        <v>340</v>
      </c>
      <c r="F25" t="s">
        <v>433</v>
      </c>
      <c r="G25" s="1">
        <v>29705</v>
      </c>
      <c r="I25" t="s">
        <v>106</v>
      </c>
      <c r="J25" t="s">
        <v>107</v>
      </c>
      <c r="K25" t="s">
        <v>205</v>
      </c>
      <c r="P25" t="s">
        <v>109</v>
      </c>
      <c r="Q25" t="s">
        <v>136</v>
      </c>
      <c r="W25" t="str">
        <f>"2002-08-26T00:00:00"</f>
        <v>2002-08-26T00:00:00</v>
      </c>
      <c r="X25" t="str">
        <f>"227"</f>
        <v>227</v>
      </c>
      <c r="Z25" t="s">
        <v>206</v>
      </c>
      <c r="AA25" t="s">
        <v>111</v>
      </c>
      <c r="AE25" t="s">
        <v>138</v>
      </c>
      <c r="AF25" t="s">
        <v>113</v>
      </c>
      <c r="AG25">
        <v>1.5</v>
      </c>
      <c r="AH25" t="s">
        <v>114</v>
      </c>
      <c r="AI25" t="s">
        <v>115</v>
      </c>
      <c r="AJ25" t="s">
        <v>116</v>
      </c>
      <c r="AN25" t="s">
        <v>117</v>
      </c>
      <c r="AO25" t="s">
        <v>118</v>
      </c>
      <c r="AP25" t="str">
        <f>"0"</f>
        <v>0</v>
      </c>
      <c r="AQ25" t="str">
        <f>"21"</f>
        <v>21</v>
      </c>
      <c r="AR25" t="str">
        <f>"21"</f>
        <v>21</v>
      </c>
      <c r="AS25" t="str">
        <f>"21"</f>
        <v>21</v>
      </c>
      <c r="AT25" t="str">
        <f>"21"</f>
        <v>21</v>
      </c>
      <c r="AU25" t="str">
        <f>"lusyacyb@mail.ru"</f>
        <v>lusyacyb@mail.ru</v>
      </c>
      <c r="AV25" t="str">
        <f>"87012706312"</f>
        <v>87012706312</v>
      </c>
      <c r="AW25" t="s">
        <v>159</v>
      </c>
      <c r="AX25" t="s">
        <v>423</v>
      </c>
      <c r="AZ25" t="s">
        <v>211</v>
      </c>
      <c r="BD25" t="s">
        <v>434</v>
      </c>
      <c r="BE25" t="s">
        <v>122</v>
      </c>
      <c r="BF25">
        <v>1.5</v>
      </c>
      <c r="BG25" t="str">
        <f>"[24]"</f>
        <v>[24]</v>
      </c>
      <c r="BH25" t="s">
        <v>113</v>
      </c>
      <c r="BI25">
        <v>0.1</v>
      </c>
      <c r="BJ25" t="s">
        <v>139</v>
      </c>
      <c r="BK25" t="s">
        <v>232</v>
      </c>
      <c r="BL25" t="s">
        <v>435</v>
      </c>
      <c r="BM25">
        <v>0.1</v>
      </c>
      <c r="BN25" t="s">
        <v>161</v>
      </c>
      <c r="BR25" t="s">
        <v>131</v>
      </c>
      <c r="BU25" t="s">
        <v>436</v>
      </c>
      <c r="BV25" t="s">
        <v>437</v>
      </c>
      <c r="BW25" t="s">
        <v>438</v>
      </c>
      <c r="BX25" t="s">
        <v>218</v>
      </c>
      <c r="BY25" t="s">
        <v>219</v>
      </c>
      <c r="BZ25" t="s">
        <v>439</v>
      </c>
      <c r="CA25" t="s">
        <v>440</v>
      </c>
      <c r="CB25" t="s">
        <v>441</v>
      </c>
      <c r="CC25" t="s">
        <v>442</v>
      </c>
      <c r="CD25" t="s">
        <v>171</v>
      </c>
      <c r="CE25" t="s">
        <v>443</v>
      </c>
      <c r="CF25" t="s">
        <v>153</v>
      </c>
      <c r="CI25" t="str">
        <f t="shared" si="0"/>
        <v>0</v>
      </c>
      <c r="CL25" t="s">
        <v>131</v>
      </c>
      <c r="CN25" t="s">
        <v>132</v>
      </c>
      <c r="CO25" t="s">
        <v>185</v>
      </c>
    </row>
    <row r="26" spans="1:93" x14ac:dyDescent="0.3">
      <c r="A26">
        <v>180988</v>
      </c>
      <c r="B26">
        <v>156001</v>
      </c>
      <c r="C26" t="str">
        <f>"750223401151"</f>
        <v>750223401151</v>
      </c>
      <c r="D26" t="s">
        <v>444</v>
      </c>
      <c r="E26" t="s">
        <v>445</v>
      </c>
      <c r="F26" t="s">
        <v>446</v>
      </c>
      <c r="G26" s="1">
        <v>27448</v>
      </c>
      <c r="I26" t="s">
        <v>106</v>
      </c>
      <c r="J26" t="s">
        <v>107</v>
      </c>
      <c r="K26" t="s">
        <v>205</v>
      </c>
      <c r="P26" t="s">
        <v>109</v>
      </c>
      <c r="Q26" t="s">
        <v>136</v>
      </c>
      <c r="W26" t="str">
        <f>"1995-08-22T00:00:00"</f>
        <v>1995-08-22T00:00:00</v>
      </c>
      <c r="X26" t="str">
        <f>"474"</f>
        <v>474</v>
      </c>
      <c r="Z26" t="s">
        <v>396</v>
      </c>
      <c r="AA26" t="s">
        <v>111</v>
      </c>
      <c r="AE26" t="s">
        <v>138</v>
      </c>
      <c r="AF26" t="s">
        <v>113</v>
      </c>
      <c r="AG26">
        <v>1.1000000000000001</v>
      </c>
      <c r="AH26" t="s">
        <v>114</v>
      </c>
      <c r="AI26" t="s">
        <v>115</v>
      </c>
      <c r="AJ26" t="s">
        <v>208</v>
      </c>
      <c r="AN26" t="s">
        <v>117</v>
      </c>
      <c r="AO26" t="s">
        <v>118</v>
      </c>
      <c r="AP26" t="str">
        <f>"0"</f>
        <v>0</v>
      </c>
      <c r="AQ26" t="str">
        <f>"28"</f>
        <v>28</v>
      </c>
      <c r="AR26" t="str">
        <f>"28"</f>
        <v>28</v>
      </c>
      <c r="AS26" t="str">
        <f>"28"</f>
        <v>28</v>
      </c>
      <c r="AT26" t="str">
        <f>"28"</f>
        <v>28</v>
      </c>
      <c r="AU26" t="str">
        <f>"inna_schitova@mail.ru"</f>
        <v>inna_schitova@mail.ru</v>
      </c>
      <c r="AV26" t="str">
        <f>"87012717053"</f>
        <v>87012717053</v>
      </c>
      <c r="AW26" t="s">
        <v>139</v>
      </c>
      <c r="AX26" t="s">
        <v>232</v>
      </c>
      <c r="AZ26" t="s">
        <v>211</v>
      </c>
      <c r="BD26" t="s">
        <v>424</v>
      </c>
      <c r="BE26" t="s">
        <v>213</v>
      </c>
      <c r="BF26">
        <v>1.1000000000000001</v>
      </c>
      <c r="BG26" t="str">
        <f>"[17]"</f>
        <v>[17]</v>
      </c>
      <c r="BH26" t="s">
        <v>447</v>
      </c>
      <c r="BI26">
        <v>0.5</v>
      </c>
      <c r="BN26" t="s">
        <v>161</v>
      </c>
      <c r="BR26" t="s">
        <v>131</v>
      </c>
      <c r="BU26" t="s">
        <v>448</v>
      </c>
      <c r="BV26" t="s">
        <v>449</v>
      </c>
      <c r="BW26" t="s">
        <v>450</v>
      </c>
      <c r="BX26" t="s">
        <v>146</v>
      </c>
      <c r="BY26" t="s">
        <v>346</v>
      </c>
      <c r="BZ26" t="s">
        <v>451</v>
      </c>
      <c r="CA26" t="s">
        <v>452</v>
      </c>
      <c r="CB26" t="s">
        <v>453</v>
      </c>
      <c r="CC26" t="s">
        <v>454</v>
      </c>
      <c r="CD26" t="s">
        <v>424</v>
      </c>
      <c r="CE26" t="s">
        <v>455</v>
      </c>
      <c r="CF26" t="s">
        <v>153</v>
      </c>
      <c r="CI26" t="str">
        <f t="shared" si="0"/>
        <v>0</v>
      </c>
      <c r="CL26" t="s">
        <v>131</v>
      </c>
      <c r="CN26" t="s">
        <v>132</v>
      </c>
      <c r="CO26" t="s">
        <v>118</v>
      </c>
    </row>
    <row r="27" spans="1:93" x14ac:dyDescent="0.3">
      <c r="A27">
        <v>181015</v>
      </c>
      <c r="B27">
        <v>156021</v>
      </c>
      <c r="C27" t="str">
        <f>"780217402836"</f>
        <v>780217402836</v>
      </c>
      <c r="D27" t="s">
        <v>456</v>
      </c>
      <c r="E27" t="s">
        <v>457</v>
      </c>
      <c r="F27" t="s">
        <v>458</v>
      </c>
      <c r="G27" s="1">
        <v>28538</v>
      </c>
      <c r="I27" t="s">
        <v>106</v>
      </c>
      <c r="J27" t="s">
        <v>107</v>
      </c>
      <c r="K27" t="s">
        <v>205</v>
      </c>
      <c r="P27" t="s">
        <v>109</v>
      </c>
      <c r="Q27" t="s">
        <v>136</v>
      </c>
      <c r="W27" t="str">
        <f>"2012-08-25T00:00:00"</f>
        <v>2012-08-25T00:00:00</v>
      </c>
      <c r="X27" t="str">
        <f>"54/1"</f>
        <v>54/1</v>
      </c>
      <c r="Z27" t="s">
        <v>137</v>
      </c>
      <c r="AA27" t="s">
        <v>111</v>
      </c>
      <c r="AE27" t="s">
        <v>138</v>
      </c>
      <c r="AF27" t="s">
        <v>207</v>
      </c>
      <c r="AG27">
        <v>1</v>
      </c>
      <c r="AH27" t="s">
        <v>114</v>
      </c>
      <c r="AI27" t="s">
        <v>115</v>
      </c>
      <c r="AJ27" t="s">
        <v>116</v>
      </c>
      <c r="AN27" t="s">
        <v>117</v>
      </c>
      <c r="AO27" t="s">
        <v>118</v>
      </c>
      <c r="AP27" t="str">
        <f>"8"</f>
        <v>8</v>
      </c>
      <c r="AQ27" t="str">
        <f>"19"</f>
        <v>19</v>
      </c>
      <c r="AR27" t="str">
        <f>"18"</f>
        <v>18</v>
      </c>
      <c r="AS27" t="str">
        <f>"18"</f>
        <v>18</v>
      </c>
      <c r="AT27" t="str">
        <f>"11"</f>
        <v>11</v>
      </c>
      <c r="AU27" t="str">
        <f>"irs78irs@mail.ru"</f>
        <v>irs78irs@mail.ru</v>
      </c>
      <c r="AV27" t="str">
        <f>"87021633078"</f>
        <v>87021633078</v>
      </c>
      <c r="AW27" t="s">
        <v>139</v>
      </c>
      <c r="AX27" t="s">
        <v>160</v>
      </c>
      <c r="AZ27" t="s">
        <v>211</v>
      </c>
      <c r="BD27" t="s">
        <v>212</v>
      </c>
      <c r="BE27" t="s">
        <v>122</v>
      </c>
      <c r="BF27">
        <v>1</v>
      </c>
      <c r="BG27" t="str">
        <f>"[16]"</f>
        <v>[16]</v>
      </c>
      <c r="BH27" t="s">
        <v>459</v>
      </c>
      <c r="BI27">
        <v>0.5</v>
      </c>
      <c r="BJ27" t="s">
        <v>139</v>
      </c>
      <c r="BK27" t="s">
        <v>209</v>
      </c>
      <c r="BN27" t="s">
        <v>161</v>
      </c>
      <c r="BR27" t="s">
        <v>131</v>
      </c>
      <c r="BU27" t="s">
        <v>460</v>
      </c>
      <c r="BV27" t="s">
        <v>461</v>
      </c>
      <c r="BW27" t="s">
        <v>462</v>
      </c>
      <c r="BX27" t="s">
        <v>463</v>
      </c>
      <c r="BY27" t="s">
        <v>464</v>
      </c>
      <c r="BZ27" t="s">
        <v>465</v>
      </c>
      <c r="CA27" t="s">
        <v>466</v>
      </c>
      <c r="CB27" t="s">
        <v>467</v>
      </c>
      <c r="CC27" t="s">
        <v>468</v>
      </c>
      <c r="CD27" t="s">
        <v>212</v>
      </c>
      <c r="CE27" t="s">
        <v>384</v>
      </c>
      <c r="CF27" s="2">
        <v>45383</v>
      </c>
      <c r="CI27" t="str">
        <f t="shared" si="0"/>
        <v>0</v>
      </c>
      <c r="CL27" t="s">
        <v>131</v>
      </c>
      <c r="CN27" t="s">
        <v>132</v>
      </c>
      <c r="CO27" t="s">
        <v>185</v>
      </c>
    </row>
    <row r="28" spans="1:93" x14ac:dyDescent="0.3">
      <c r="A28">
        <v>181028</v>
      </c>
      <c r="B28">
        <v>156032</v>
      </c>
      <c r="C28" t="str">
        <f>"650501401378"</f>
        <v>650501401378</v>
      </c>
      <c r="D28" t="s">
        <v>469</v>
      </c>
      <c r="E28" t="s">
        <v>470</v>
      </c>
      <c r="F28" t="s">
        <v>471</v>
      </c>
      <c r="G28" s="1">
        <v>23863</v>
      </c>
      <c r="I28" t="s">
        <v>106</v>
      </c>
      <c r="J28" t="s">
        <v>107</v>
      </c>
      <c r="K28" t="s">
        <v>108</v>
      </c>
      <c r="P28" t="s">
        <v>109</v>
      </c>
      <c r="Q28" t="s">
        <v>136</v>
      </c>
      <c r="W28" t="str">
        <f>"2019-12-13T00:00:00"</f>
        <v>2019-12-13T00:00:00</v>
      </c>
      <c r="X28" t="str">
        <f>"321"</f>
        <v>321</v>
      </c>
      <c r="Z28" t="s">
        <v>110</v>
      </c>
      <c r="AA28" t="s">
        <v>111</v>
      </c>
      <c r="AE28" t="s">
        <v>138</v>
      </c>
      <c r="AF28" t="s">
        <v>113</v>
      </c>
      <c r="AG28">
        <v>1.5</v>
      </c>
      <c r="AH28" t="s">
        <v>114</v>
      </c>
      <c r="AI28" t="s">
        <v>115</v>
      </c>
      <c r="AJ28" t="s">
        <v>116</v>
      </c>
      <c r="AN28" t="s">
        <v>117</v>
      </c>
      <c r="AO28" t="s">
        <v>118</v>
      </c>
      <c r="AP28" t="str">
        <f>"37"</f>
        <v>37</v>
      </c>
      <c r="AQ28" t="str">
        <f>"41"</f>
        <v>41</v>
      </c>
      <c r="AR28" t="str">
        <f>"41"</f>
        <v>41</v>
      </c>
      <c r="AS28" t="str">
        <f>"41"</f>
        <v>41</v>
      </c>
      <c r="AT28" t="str">
        <f>"4"</f>
        <v>4</v>
      </c>
      <c r="AU28" t="str">
        <f>"bzakaryanova@bk.ru"</f>
        <v>bzakaryanova@bk.ru</v>
      </c>
      <c r="AV28" t="str">
        <f>"87056466881"</f>
        <v>87056466881</v>
      </c>
      <c r="AW28" t="s">
        <v>139</v>
      </c>
      <c r="AX28" t="s">
        <v>160</v>
      </c>
      <c r="AZ28" t="s">
        <v>189</v>
      </c>
      <c r="BD28" t="s">
        <v>320</v>
      </c>
      <c r="BE28" t="s">
        <v>122</v>
      </c>
      <c r="BF28">
        <v>1.5</v>
      </c>
      <c r="BG28" t="str">
        <f>"[24]"</f>
        <v>[24]</v>
      </c>
      <c r="BH28" t="s">
        <v>118</v>
      </c>
      <c r="BI28">
        <v>0</v>
      </c>
      <c r="BN28" t="s">
        <v>161</v>
      </c>
      <c r="BR28" t="s">
        <v>131</v>
      </c>
      <c r="BU28" t="s">
        <v>472</v>
      </c>
      <c r="BV28" t="s">
        <v>473</v>
      </c>
      <c r="BW28" t="s">
        <v>474</v>
      </c>
      <c r="BX28" t="s">
        <v>475</v>
      </c>
      <c r="BY28" t="s">
        <v>476</v>
      </c>
      <c r="BZ28" t="s">
        <v>477</v>
      </c>
      <c r="CA28" t="s">
        <v>478</v>
      </c>
      <c r="CB28" t="s">
        <v>479</v>
      </c>
      <c r="CC28" t="s">
        <v>480</v>
      </c>
      <c r="CD28" t="s">
        <v>171</v>
      </c>
      <c r="CE28" t="s">
        <v>481</v>
      </c>
      <c r="CF28" t="s">
        <v>153</v>
      </c>
      <c r="CI28" t="str">
        <f t="shared" si="0"/>
        <v>0</v>
      </c>
      <c r="CL28" t="s">
        <v>136</v>
      </c>
      <c r="CN28" t="s">
        <v>132</v>
      </c>
      <c r="CO28" t="s">
        <v>118</v>
      </c>
    </row>
    <row r="29" spans="1:93" hidden="1" x14ac:dyDescent="0.3">
      <c r="A29">
        <v>181046</v>
      </c>
      <c r="B29">
        <v>156045</v>
      </c>
      <c r="C29" t="str">
        <f>"780918401501"</f>
        <v>780918401501</v>
      </c>
      <c r="D29" t="s">
        <v>482</v>
      </c>
      <c r="E29" t="s">
        <v>483</v>
      </c>
      <c r="F29" t="s">
        <v>376</v>
      </c>
      <c r="G29" s="1">
        <v>28751</v>
      </c>
      <c r="I29" t="s">
        <v>106</v>
      </c>
      <c r="J29" t="s">
        <v>107</v>
      </c>
      <c r="K29" t="s">
        <v>205</v>
      </c>
      <c r="P29" t="s">
        <v>109</v>
      </c>
      <c r="W29" t="str">
        <f>"2004-09-01T00:00:00"</f>
        <v>2004-09-01T00:00:00</v>
      </c>
      <c r="X29" t="str">
        <f>"52"</f>
        <v>52</v>
      </c>
      <c r="Z29" t="s">
        <v>110</v>
      </c>
      <c r="AA29" t="s">
        <v>111</v>
      </c>
      <c r="AE29" t="s">
        <v>138</v>
      </c>
      <c r="AF29" t="s">
        <v>484</v>
      </c>
      <c r="AG29">
        <v>1.5</v>
      </c>
      <c r="AH29" t="s">
        <v>114</v>
      </c>
      <c r="AI29" t="s">
        <v>115</v>
      </c>
      <c r="AJ29" t="s">
        <v>485</v>
      </c>
      <c r="AN29" t="s">
        <v>486</v>
      </c>
      <c r="AP29" t="str">
        <f>"0"</f>
        <v>0</v>
      </c>
      <c r="AQ29" t="str">
        <f>"19"</f>
        <v>19</v>
      </c>
      <c r="AS29" t="str">
        <f>"0"</f>
        <v>0</v>
      </c>
      <c r="AT29" t="str">
        <f>"19"</f>
        <v>19</v>
      </c>
      <c r="AZ29" t="s">
        <v>130</v>
      </c>
      <c r="BH29" t="s">
        <v>118</v>
      </c>
      <c r="BI29">
        <v>0</v>
      </c>
      <c r="CE29" t="s">
        <v>130</v>
      </c>
    </row>
    <row r="30" spans="1:93" hidden="1" x14ac:dyDescent="0.3">
      <c r="A30">
        <v>181092</v>
      </c>
      <c r="B30">
        <v>156076</v>
      </c>
      <c r="C30" t="str">
        <f>"660820450027"</f>
        <v>660820450027</v>
      </c>
      <c r="D30" t="s">
        <v>487</v>
      </c>
      <c r="E30" t="s">
        <v>104</v>
      </c>
      <c r="F30" t="s">
        <v>488</v>
      </c>
      <c r="G30" s="1">
        <v>24339</v>
      </c>
      <c r="I30" t="s">
        <v>106</v>
      </c>
      <c r="J30" t="s">
        <v>107</v>
      </c>
      <c r="K30" t="s">
        <v>108</v>
      </c>
      <c r="P30" t="s">
        <v>109</v>
      </c>
      <c r="Q30" t="s">
        <v>136</v>
      </c>
      <c r="W30" t="str">
        <f>"2015-09-02T00:00:00"</f>
        <v>2015-09-02T00:00:00</v>
      </c>
      <c r="X30" t="str">
        <f>"129"</f>
        <v>129</v>
      </c>
      <c r="Z30" t="s">
        <v>110</v>
      </c>
      <c r="AA30" t="s">
        <v>111</v>
      </c>
      <c r="AE30" t="s">
        <v>138</v>
      </c>
      <c r="AF30" t="s">
        <v>489</v>
      </c>
      <c r="AG30">
        <v>1.5</v>
      </c>
      <c r="AH30" t="s">
        <v>114</v>
      </c>
      <c r="AI30" t="s">
        <v>115</v>
      </c>
      <c r="AJ30" t="s">
        <v>490</v>
      </c>
      <c r="AN30" t="s">
        <v>486</v>
      </c>
      <c r="AP30" t="str">
        <f>"7"</f>
        <v>7</v>
      </c>
      <c r="AQ30" t="str">
        <f>"15"</f>
        <v>15</v>
      </c>
      <c r="AS30" t="str">
        <f>"0"</f>
        <v>0</v>
      </c>
      <c r="AT30" t="str">
        <f>"8"</f>
        <v>8</v>
      </c>
      <c r="AZ30" t="s">
        <v>130</v>
      </c>
      <c r="BH30" t="s">
        <v>118</v>
      </c>
      <c r="BI30">
        <v>0</v>
      </c>
      <c r="CE30" t="s">
        <v>130</v>
      </c>
    </row>
    <row r="31" spans="1:93" x14ac:dyDescent="0.3">
      <c r="A31">
        <v>181113</v>
      </c>
      <c r="B31">
        <v>145303</v>
      </c>
      <c r="C31" t="str">
        <f>"810518400488"</f>
        <v>810518400488</v>
      </c>
      <c r="D31" t="s">
        <v>491</v>
      </c>
      <c r="E31" t="s">
        <v>492</v>
      </c>
      <c r="F31" t="s">
        <v>493</v>
      </c>
      <c r="G31" s="1">
        <v>29724</v>
      </c>
      <c r="I31" t="s">
        <v>106</v>
      </c>
      <c r="J31" t="s">
        <v>107</v>
      </c>
      <c r="K31" t="s">
        <v>108</v>
      </c>
      <c r="P31" t="s">
        <v>109</v>
      </c>
      <c r="Q31" t="s">
        <v>136</v>
      </c>
      <c r="W31" t="str">
        <f>"2014-08-29T00:00:00"</f>
        <v>2014-08-29T00:00:00</v>
      </c>
      <c r="X31" t="str">
        <f>"42"</f>
        <v>42</v>
      </c>
      <c r="Z31" t="s">
        <v>137</v>
      </c>
      <c r="AA31" t="s">
        <v>111</v>
      </c>
      <c r="AE31" t="s">
        <v>138</v>
      </c>
      <c r="AF31" t="s">
        <v>207</v>
      </c>
      <c r="AG31">
        <v>1.5</v>
      </c>
      <c r="AH31" t="s">
        <v>114</v>
      </c>
      <c r="AI31" t="s">
        <v>115</v>
      </c>
      <c r="AJ31" t="s">
        <v>208</v>
      </c>
      <c r="AN31" t="s">
        <v>117</v>
      </c>
      <c r="AO31" t="s">
        <v>118</v>
      </c>
      <c r="AP31" t="str">
        <f>"4"</f>
        <v>4</v>
      </c>
      <c r="AQ31" t="str">
        <f>"13"</f>
        <v>13</v>
      </c>
      <c r="AR31" t="str">
        <f>"13"</f>
        <v>13</v>
      </c>
      <c r="AS31" t="str">
        <f>"13"</f>
        <v>13</v>
      </c>
      <c r="AT31" t="str">
        <f>"9"</f>
        <v>9</v>
      </c>
      <c r="AU31" t="str">
        <f>"Kochanova.81@mail.ru"</f>
        <v>Kochanova.81@mail.ru</v>
      </c>
      <c r="AV31" t="str">
        <f>"87712974770"</f>
        <v>87712974770</v>
      </c>
      <c r="AW31" t="s">
        <v>159</v>
      </c>
      <c r="AX31" t="s">
        <v>160</v>
      </c>
      <c r="AZ31" t="s">
        <v>189</v>
      </c>
      <c r="BD31" t="s">
        <v>212</v>
      </c>
      <c r="BE31" t="s">
        <v>213</v>
      </c>
      <c r="BF31">
        <v>1.5</v>
      </c>
      <c r="BG31" t="str">
        <f>"[24]"</f>
        <v>[24]</v>
      </c>
      <c r="BH31" t="s">
        <v>118</v>
      </c>
      <c r="BI31">
        <v>0</v>
      </c>
      <c r="BN31" t="s">
        <v>161</v>
      </c>
      <c r="BR31" t="s">
        <v>131</v>
      </c>
      <c r="BU31" t="s">
        <v>494</v>
      </c>
      <c r="BV31" t="s">
        <v>378</v>
      </c>
      <c r="BW31" t="s">
        <v>495</v>
      </c>
      <c r="BX31" t="s">
        <v>250</v>
      </c>
      <c r="BY31" t="s">
        <v>251</v>
      </c>
      <c r="BZ31" t="s">
        <v>496</v>
      </c>
      <c r="CA31" t="s">
        <v>497</v>
      </c>
      <c r="CB31" t="s">
        <v>498</v>
      </c>
      <c r="CC31" t="s">
        <v>499</v>
      </c>
      <c r="CD31" t="s">
        <v>212</v>
      </c>
      <c r="CE31" t="s">
        <v>224</v>
      </c>
      <c r="CF31" s="2">
        <v>45383</v>
      </c>
      <c r="CI31" t="str">
        <f>"0"</f>
        <v>0</v>
      </c>
      <c r="CL31" t="s">
        <v>131</v>
      </c>
      <c r="CN31" t="s">
        <v>132</v>
      </c>
      <c r="CO31" t="s">
        <v>185</v>
      </c>
    </row>
    <row r="32" spans="1:93" x14ac:dyDescent="0.3">
      <c r="A32">
        <v>181170</v>
      </c>
      <c r="B32">
        <v>156143</v>
      </c>
      <c r="C32" t="str">
        <f>"900517450676"</f>
        <v>900517450676</v>
      </c>
      <c r="D32" t="s">
        <v>500</v>
      </c>
      <c r="E32" t="s">
        <v>501</v>
      </c>
      <c r="F32" t="s">
        <v>502</v>
      </c>
      <c r="G32" s="1">
        <v>33010</v>
      </c>
      <c r="I32" t="s">
        <v>106</v>
      </c>
      <c r="J32" t="s">
        <v>107</v>
      </c>
      <c r="K32" t="s">
        <v>108</v>
      </c>
      <c r="P32" t="s">
        <v>109</v>
      </c>
      <c r="Q32" t="s">
        <v>136</v>
      </c>
      <c r="W32" t="str">
        <f>"2016-08-31T00:00:00"</f>
        <v>2016-08-31T00:00:00</v>
      </c>
      <c r="X32" t="str">
        <f>"87"</f>
        <v>87</v>
      </c>
      <c r="Z32" t="s">
        <v>137</v>
      </c>
      <c r="AA32" t="s">
        <v>111</v>
      </c>
      <c r="AE32" t="s">
        <v>138</v>
      </c>
      <c r="AF32" t="s">
        <v>113</v>
      </c>
      <c r="AG32">
        <v>1.5</v>
      </c>
      <c r="AH32" t="s">
        <v>114</v>
      </c>
      <c r="AI32" t="s">
        <v>115</v>
      </c>
      <c r="AJ32" t="s">
        <v>116</v>
      </c>
      <c r="AN32" t="s">
        <v>117</v>
      </c>
      <c r="AO32" t="s">
        <v>118</v>
      </c>
      <c r="AP32" t="str">
        <f>"8"</f>
        <v>8</v>
      </c>
      <c r="AQ32" t="str">
        <f>"15"</f>
        <v>15</v>
      </c>
      <c r="AR32" t="str">
        <f>"8"</f>
        <v>8</v>
      </c>
      <c r="AS32" t="str">
        <f>"8"</f>
        <v>8</v>
      </c>
      <c r="AT32" t="str">
        <f>"7"</f>
        <v>7</v>
      </c>
      <c r="AU32" t="str">
        <f>"kolledzhmaksat_2006@mail.ru"</f>
        <v>kolledzhmaksat_2006@mail.ru</v>
      </c>
      <c r="AV32" t="str">
        <f>"87713759027"</f>
        <v>87713759027</v>
      </c>
      <c r="AW32" t="s">
        <v>159</v>
      </c>
      <c r="AX32" t="s">
        <v>209</v>
      </c>
      <c r="AY32" t="s">
        <v>210</v>
      </c>
      <c r="AZ32" t="s">
        <v>177</v>
      </c>
      <c r="BD32" t="s">
        <v>288</v>
      </c>
      <c r="BE32" t="s">
        <v>122</v>
      </c>
      <c r="BF32">
        <v>1.5</v>
      </c>
      <c r="BG32" t="str">
        <f>"[24]"</f>
        <v>[24]</v>
      </c>
      <c r="BH32" t="s">
        <v>503</v>
      </c>
      <c r="BI32">
        <v>1</v>
      </c>
      <c r="BJ32" t="s">
        <v>119</v>
      </c>
      <c r="BL32" t="s">
        <v>171</v>
      </c>
      <c r="BM32">
        <v>0</v>
      </c>
      <c r="BN32" t="s">
        <v>161</v>
      </c>
      <c r="BR32" t="s">
        <v>131</v>
      </c>
      <c r="BU32" t="s">
        <v>504</v>
      </c>
      <c r="BV32" t="s">
        <v>505</v>
      </c>
      <c r="BW32" t="s">
        <v>506</v>
      </c>
      <c r="BX32" t="s">
        <v>507</v>
      </c>
      <c r="BY32" t="s">
        <v>508</v>
      </c>
      <c r="BZ32" t="s">
        <v>509</v>
      </c>
      <c r="CA32" t="s">
        <v>510</v>
      </c>
      <c r="CB32" t="s">
        <v>511</v>
      </c>
      <c r="CC32" t="s">
        <v>512</v>
      </c>
      <c r="CD32" t="s">
        <v>288</v>
      </c>
      <c r="CE32" t="s">
        <v>513</v>
      </c>
      <c r="CF32" t="s">
        <v>153</v>
      </c>
      <c r="CI32" t="str">
        <f>"0"</f>
        <v>0</v>
      </c>
      <c r="CL32" t="s">
        <v>136</v>
      </c>
      <c r="CN32" t="s">
        <v>132</v>
      </c>
      <c r="CO32" t="s">
        <v>118</v>
      </c>
    </row>
    <row r="33" spans="1:93" x14ac:dyDescent="0.3">
      <c r="A33">
        <v>181176</v>
      </c>
      <c r="B33">
        <v>156148</v>
      </c>
      <c r="C33" t="str">
        <f>"921201450882"</f>
        <v>921201450882</v>
      </c>
      <c r="D33" t="s">
        <v>514</v>
      </c>
      <c r="E33" t="s">
        <v>515</v>
      </c>
      <c r="F33" t="s">
        <v>516</v>
      </c>
      <c r="G33" s="1">
        <v>33939</v>
      </c>
      <c r="I33" t="s">
        <v>106</v>
      </c>
      <c r="J33" t="s">
        <v>107</v>
      </c>
      <c r="K33" t="s">
        <v>205</v>
      </c>
      <c r="P33" t="s">
        <v>109</v>
      </c>
      <c r="Q33" t="s">
        <v>136</v>
      </c>
      <c r="W33" t="str">
        <f>"2018-08-17T00:00:00"</f>
        <v>2018-08-17T00:00:00</v>
      </c>
      <c r="X33" t="str">
        <f>"193"</f>
        <v>193</v>
      </c>
      <c r="Z33" t="s">
        <v>342</v>
      </c>
      <c r="AA33" t="s">
        <v>111</v>
      </c>
      <c r="AE33" t="s">
        <v>138</v>
      </c>
      <c r="AF33" t="s">
        <v>113</v>
      </c>
      <c r="AG33">
        <v>1.5</v>
      </c>
      <c r="AH33" t="s">
        <v>114</v>
      </c>
      <c r="AI33" t="s">
        <v>229</v>
      </c>
      <c r="AJ33" t="s">
        <v>230</v>
      </c>
      <c r="AN33" t="s">
        <v>117</v>
      </c>
      <c r="AO33" t="s">
        <v>118</v>
      </c>
      <c r="AP33" t="str">
        <f>"4"</f>
        <v>4</v>
      </c>
      <c r="AQ33" t="str">
        <f>"9"</f>
        <v>9</v>
      </c>
      <c r="AR33" t="str">
        <f>"9"</f>
        <v>9</v>
      </c>
      <c r="AS33" t="str">
        <f>"9"</f>
        <v>9</v>
      </c>
      <c r="AT33" t="str">
        <f>"5"</f>
        <v>5</v>
      </c>
      <c r="AU33" t="str">
        <f>"katyushka01.12@mail.ru"</f>
        <v>katyushka01.12@mail.ru</v>
      </c>
      <c r="AV33" t="str">
        <f>"87018473207"</f>
        <v>87018473207</v>
      </c>
      <c r="AW33" t="s">
        <v>159</v>
      </c>
      <c r="AX33" t="s">
        <v>160</v>
      </c>
      <c r="AZ33" t="s">
        <v>211</v>
      </c>
      <c r="BD33" t="s">
        <v>190</v>
      </c>
      <c r="BE33" t="s">
        <v>122</v>
      </c>
      <c r="BF33">
        <v>1.5</v>
      </c>
      <c r="BG33" t="str">
        <f>"[24]"</f>
        <v>[24]</v>
      </c>
      <c r="BH33" t="s">
        <v>118</v>
      </c>
      <c r="BI33">
        <v>0</v>
      </c>
      <c r="BN33" t="s">
        <v>161</v>
      </c>
      <c r="BR33" t="s">
        <v>131</v>
      </c>
      <c r="BU33" t="s">
        <v>517</v>
      </c>
      <c r="BV33" t="s">
        <v>518</v>
      </c>
      <c r="BW33" t="s">
        <v>519</v>
      </c>
      <c r="BX33" t="s">
        <v>412</v>
      </c>
      <c r="BY33" t="s">
        <v>413</v>
      </c>
      <c r="BZ33" t="s">
        <v>520</v>
      </c>
      <c r="CA33" t="s">
        <v>521</v>
      </c>
      <c r="CB33" t="s">
        <v>522</v>
      </c>
      <c r="CC33" t="s">
        <v>523</v>
      </c>
      <c r="CD33" t="s">
        <v>190</v>
      </c>
      <c r="CE33" t="s">
        <v>524</v>
      </c>
      <c r="CF33" t="s">
        <v>153</v>
      </c>
      <c r="CI33" t="str">
        <f>"0"</f>
        <v>0</v>
      </c>
      <c r="CL33" t="s">
        <v>131</v>
      </c>
      <c r="CN33" t="s">
        <v>201</v>
      </c>
      <c r="CO33" t="s">
        <v>525</v>
      </c>
    </row>
    <row r="34" spans="1:93" x14ac:dyDescent="0.3">
      <c r="A34">
        <v>181207</v>
      </c>
      <c r="B34">
        <v>156169</v>
      </c>
      <c r="C34" t="str">
        <f>"650601401908"</f>
        <v>650601401908</v>
      </c>
      <c r="D34" t="s">
        <v>526</v>
      </c>
      <c r="E34" t="s">
        <v>271</v>
      </c>
      <c r="F34" t="s">
        <v>527</v>
      </c>
      <c r="G34" s="1">
        <v>23894</v>
      </c>
      <c r="I34" t="s">
        <v>106</v>
      </c>
      <c r="J34" t="s">
        <v>107</v>
      </c>
      <c r="K34" t="s">
        <v>392</v>
      </c>
      <c r="P34" t="s">
        <v>109</v>
      </c>
      <c r="Q34" t="s">
        <v>136</v>
      </c>
      <c r="W34" t="str">
        <f>"2007-08-27T00:00:00"</f>
        <v>2007-08-27T00:00:00</v>
      </c>
      <c r="X34" t="str">
        <f>"356"</f>
        <v>356</v>
      </c>
      <c r="Z34" t="s">
        <v>528</v>
      </c>
      <c r="AA34" t="s">
        <v>111</v>
      </c>
      <c r="AE34" t="s">
        <v>138</v>
      </c>
      <c r="AF34" t="s">
        <v>113</v>
      </c>
      <c r="AG34">
        <v>1.5</v>
      </c>
      <c r="AH34" t="s">
        <v>114</v>
      </c>
      <c r="AI34" t="s">
        <v>115</v>
      </c>
      <c r="AJ34" t="s">
        <v>116</v>
      </c>
      <c r="AN34" t="s">
        <v>117</v>
      </c>
      <c r="AO34" t="s">
        <v>118</v>
      </c>
      <c r="AP34" t="str">
        <f>"20"</f>
        <v>20</v>
      </c>
      <c r="AQ34" t="str">
        <f>"36"</f>
        <v>36</v>
      </c>
      <c r="AR34" t="str">
        <f>"33"</f>
        <v>33</v>
      </c>
      <c r="AS34" t="str">
        <f>"33"</f>
        <v>33</v>
      </c>
      <c r="AT34" t="str">
        <f>"16"</f>
        <v>16</v>
      </c>
      <c r="AU34" t="str">
        <f>"chernova0106@istl.ru"</f>
        <v>chernova0106@istl.ru</v>
      </c>
      <c r="AV34" t="str">
        <f>"87779625855"</f>
        <v>87779625855</v>
      </c>
      <c r="AW34" t="s">
        <v>231</v>
      </c>
      <c r="AX34" t="s">
        <v>160</v>
      </c>
      <c r="AY34" t="s">
        <v>210</v>
      </c>
      <c r="AZ34" t="s">
        <v>211</v>
      </c>
      <c r="BD34" t="s">
        <v>355</v>
      </c>
      <c r="BE34" t="s">
        <v>122</v>
      </c>
      <c r="BF34">
        <v>1.5</v>
      </c>
      <c r="BG34" t="str">
        <f>"[24]"</f>
        <v>[24]</v>
      </c>
      <c r="BH34" t="s">
        <v>529</v>
      </c>
      <c r="BI34">
        <v>0.7</v>
      </c>
      <c r="BJ34" t="s">
        <v>119</v>
      </c>
      <c r="BL34" t="s">
        <v>171</v>
      </c>
      <c r="BM34">
        <v>0</v>
      </c>
      <c r="BN34" t="s">
        <v>161</v>
      </c>
      <c r="BR34" t="s">
        <v>131</v>
      </c>
      <c r="BU34" t="s">
        <v>530</v>
      </c>
      <c r="BV34" t="s">
        <v>531</v>
      </c>
      <c r="BW34" t="s">
        <v>532</v>
      </c>
      <c r="BX34" t="s">
        <v>263</v>
      </c>
      <c r="BY34" t="s">
        <v>413</v>
      </c>
      <c r="BZ34" t="s">
        <v>533</v>
      </c>
      <c r="CA34" t="s">
        <v>534</v>
      </c>
      <c r="CB34" t="s">
        <v>535</v>
      </c>
      <c r="CC34" t="s">
        <v>536</v>
      </c>
      <c r="CD34" t="s">
        <v>355</v>
      </c>
      <c r="CE34" t="s">
        <v>537</v>
      </c>
      <c r="CF34" t="s">
        <v>153</v>
      </c>
      <c r="CI34" t="str">
        <f>"0"</f>
        <v>0</v>
      </c>
      <c r="CL34" t="s">
        <v>131</v>
      </c>
      <c r="CN34" t="s">
        <v>132</v>
      </c>
      <c r="CO34" t="s">
        <v>525</v>
      </c>
    </row>
    <row r="35" spans="1:93" hidden="1" x14ac:dyDescent="0.3">
      <c r="A35">
        <v>181228</v>
      </c>
      <c r="B35">
        <v>156185</v>
      </c>
      <c r="C35" t="str">
        <f>"851002450141"</f>
        <v>851002450141</v>
      </c>
      <c r="D35" t="s">
        <v>538</v>
      </c>
      <c r="E35" t="s">
        <v>539</v>
      </c>
      <c r="F35" t="s">
        <v>376</v>
      </c>
      <c r="G35" s="1">
        <v>31322</v>
      </c>
      <c r="I35" t="s">
        <v>106</v>
      </c>
      <c r="J35" t="s">
        <v>107</v>
      </c>
      <c r="K35" t="s">
        <v>205</v>
      </c>
      <c r="P35" t="s">
        <v>109</v>
      </c>
      <c r="Q35" t="s">
        <v>136</v>
      </c>
      <c r="W35" t="str">
        <f>"2013-09-02T00:00:00"</f>
        <v>2013-09-02T00:00:00</v>
      </c>
      <c r="X35" t="str">
        <f>"133"</f>
        <v>133</v>
      </c>
      <c r="Z35" t="s">
        <v>540</v>
      </c>
      <c r="AA35" t="s">
        <v>111</v>
      </c>
      <c r="AE35" t="s">
        <v>138</v>
      </c>
      <c r="AF35" t="s">
        <v>484</v>
      </c>
      <c r="AG35">
        <v>1.5</v>
      </c>
      <c r="AH35" t="s">
        <v>114</v>
      </c>
      <c r="AI35" t="s">
        <v>115</v>
      </c>
      <c r="AJ35" t="s">
        <v>485</v>
      </c>
      <c r="AN35" t="s">
        <v>486</v>
      </c>
      <c r="AP35" t="str">
        <f>"0"</f>
        <v>0</v>
      </c>
      <c r="AQ35" t="str">
        <f>"10"</f>
        <v>10</v>
      </c>
      <c r="AS35" t="str">
        <f>"0"</f>
        <v>0</v>
      </c>
      <c r="AT35" t="str">
        <f>"10"</f>
        <v>10</v>
      </c>
      <c r="AZ35" t="s">
        <v>130</v>
      </c>
      <c r="BH35" t="s">
        <v>118</v>
      </c>
      <c r="BI35">
        <v>0</v>
      </c>
      <c r="CE35" t="s">
        <v>130</v>
      </c>
    </row>
    <row r="36" spans="1:93" hidden="1" x14ac:dyDescent="0.3">
      <c r="A36">
        <v>181308</v>
      </c>
      <c r="B36">
        <v>156246</v>
      </c>
      <c r="C36" t="str">
        <f>"610102450430"</f>
        <v>610102450430</v>
      </c>
      <c r="D36" t="s">
        <v>541</v>
      </c>
      <c r="E36" t="s">
        <v>542</v>
      </c>
      <c r="F36" t="s">
        <v>543</v>
      </c>
      <c r="G36" s="1">
        <v>22283</v>
      </c>
      <c r="I36" t="s">
        <v>106</v>
      </c>
      <c r="J36" t="s">
        <v>107</v>
      </c>
      <c r="K36" t="s">
        <v>544</v>
      </c>
      <c r="P36" t="s">
        <v>109</v>
      </c>
      <c r="W36" t="str">
        <f>"2015-09-07T00:00:00"</f>
        <v>2015-09-07T00:00:00</v>
      </c>
      <c r="X36" t="str">
        <f>"140"</f>
        <v>140</v>
      </c>
      <c r="Z36" t="s">
        <v>110</v>
      </c>
      <c r="AA36" t="s">
        <v>111</v>
      </c>
      <c r="AE36" t="s">
        <v>138</v>
      </c>
      <c r="AF36" t="s">
        <v>484</v>
      </c>
      <c r="AG36">
        <v>1.5</v>
      </c>
      <c r="AH36" t="s">
        <v>114</v>
      </c>
      <c r="AI36" t="s">
        <v>115</v>
      </c>
      <c r="AJ36" t="s">
        <v>490</v>
      </c>
      <c r="AN36" t="s">
        <v>486</v>
      </c>
      <c r="AP36" t="str">
        <f>"23"</f>
        <v>23</v>
      </c>
      <c r="AQ36" t="str">
        <f>"31"</f>
        <v>31</v>
      </c>
      <c r="AS36" t="str">
        <f>"0"</f>
        <v>0</v>
      </c>
      <c r="AT36" t="str">
        <f>"8"</f>
        <v>8</v>
      </c>
      <c r="AZ36" t="s">
        <v>130</v>
      </c>
      <c r="BH36" t="s">
        <v>118</v>
      </c>
      <c r="BI36">
        <v>0</v>
      </c>
      <c r="CE36" t="s">
        <v>130</v>
      </c>
    </row>
    <row r="37" spans="1:93" x14ac:dyDescent="0.3">
      <c r="A37">
        <v>1723083</v>
      </c>
      <c r="B37">
        <v>1291913</v>
      </c>
      <c r="C37" t="str">
        <f>"940405351428"</f>
        <v>940405351428</v>
      </c>
      <c r="D37" t="s">
        <v>545</v>
      </c>
      <c r="E37" t="s">
        <v>546</v>
      </c>
      <c r="F37" t="s">
        <v>547</v>
      </c>
      <c r="G37" s="1">
        <v>34429</v>
      </c>
      <c r="I37" t="s">
        <v>548</v>
      </c>
      <c r="J37" t="s">
        <v>107</v>
      </c>
      <c r="K37" t="s">
        <v>108</v>
      </c>
      <c r="P37" t="s">
        <v>549</v>
      </c>
      <c r="Q37" t="s">
        <v>136</v>
      </c>
      <c r="W37" t="str">
        <f>"2019-09-02T00:00:00"</f>
        <v>2019-09-02T00:00:00</v>
      </c>
      <c r="X37" t="str">
        <f>"208"</f>
        <v>208</v>
      </c>
      <c r="Z37" t="s">
        <v>550</v>
      </c>
      <c r="AA37" t="s">
        <v>111</v>
      </c>
      <c r="AE37" t="s">
        <v>138</v>
      </c>
      <c r="AF37" t="s">
        <v>551</v>
      </c>
      <c r="AG37">
        <v>1</v>
      </c>
      <c r="AH37" t="s">
        <v>114</v>
      </c>
      <c r="AI37" t="s">
        <v>115</v>
      </c>
      <c r="AJ37" t="s">
        <v>116</v>
      </c>
      <c r="AN37" t="s">
        <v>117</v>
      </c>
      <c r="AO37" t="s">
        <v>118</v>
      </c>
      <c r="AP37" t="str">
        <f>"2"</f>
        <v>2</v>
      </c>
      <c r="AQ37" t="str">
        <f>"6"</f>
        <v>6</v>
      </c>
      <c r="AR37" t="str">
        <f>"4"</f>
        <v>4</v>
      </c>
      <c r="AS37" t="str">
        <f>"4"</f>
        <v>4</v>
      </c>
      <c r="AT37" t="str">
        <f>"4"</f>
        <v>4</v>
      </c>
      <c r="AU37" t="str">
        <f>"nursultan.1994.kz.step@gmail.ru"</f>
        <v>nursultan.1994.kz.step@gmail.ru</v>
      </c>
      <c r="AV37" t="str">
        <f>"87772052027"</f>
        <v>87772052027</v>
      </c>
      <c r="AW37" t="s">
        <v>119</v>
      </c>
      <c r="AZ37" t="s">
        <v>120</v>
      </c>
      <c r="BD37" t="s">
        <v>552</v>
      </c>
      <c r="BE37" t="s">
        <v>122</v>
      </c>
      <c r="BH37" t="s">
        <v>113</v>
      </c>
      <c r="BI37">
        <v>0.3</v>
      </c>
      <c r="BJ37" t="s">
        <v>119</v>
      </c>
      <c r="BL37" t="s">
        <v>553</v>
      </c>
      <c r="BM37">
        <v>0.3</v>
      </c>
      <c r="BN37" t="s">
        <v>142</v>
      </c>
      <c r="BR37" t="s">
        <v>131</v>
      </c>
      <c r="BS37" t="s">
        <v>554</v>
      </c>
      <c r="BU37" t="s">
        <v>555</v>
      </c>
      <c r="BV37" t="s">
        <v>556</v>
      </c>
      <c r="BW37" t="s">
        <v>557</v>
      </c>
      <c r="BX37" t="s">
        <v>250</v>
      </c>
      <c r="BY37" t="s">
        <v>558</v>
      </c>
      <c r="BZ37" t="s">
        <v>559</v>
      </c>
      <c r="CA37" t="s">
        <v>560</v>
      </c>
      <c r="CB37" t="s">
        <v>561</v>
      </c>
      <c r="CC37" t="s">
        <v>562</v>
      </c>
      <c r="CD37" t="s">
        <v>553</v>
      </c>
      <c r="CE37" t="s">
        <v>563</v>
      </c>
      <c r="CF37" t="s">
        <v>153</v>
      </c>
      <c r="CI37" t="str">
        <f>"0"</f>
        <v>0</v>
      </c>
      <c r="CL37" t="s">
        <v>136</v>
      </c>
      <c r="CN37" t="s">
        <v>132</v>
      </c>
      <c r="CO37" t="s">
        <v>118</v>
      </c>
    </row>
    <row r="38" spans="1:93" x14ac:dyDescent="0.3">
      <c r="A38">
        <v>1723276</v>
      </c>
      <c r="B38">
        <v>1292005</v>
      </c>
      <c r="C38" t="str">
        <f>"010427650811"</f>
        <v>010427650811</v>
      </c>
      <c r="D38" t="s">
        <v>564</v>
      </c>
      <c r="E38" t="s">
        <v>565</v>
      </c>
      <c r="F38" t="s">
        <v>566</v>
      </c>
      <c r="G38" s="1">
        <v>37008</v>
      </c>
      <c r="I38" t="s">
        <v>106</v>
      </c>
      <c r="J38" t="s">
        <v>107</v>
      </c>
      <c r="K38" t="s">
        <v>108</v>
      </c>
      <c r="P38" t="s">
        <v>109</v>
      </c>
      <c r="Q38" t="s">
        <v>136</v>
      </c>
      <c r="W38" t="str">
        <f>"2023-07-10T00:00:00"</f>
        <v>2023-07-10T00:00:00</v>
      </c>
      <c r="X38" t="str">
        <f>"3"</f>
        <v>3</v>
      </c>
      <c r="Z38" t="s">
        <v>396</v>
      </c>
      <c r="AA38" t="s">
        <v>111</v>
      </c>
      <c r="AE38" t="s">
        <v>112</v>
      </c>
      <c r="AF38" t="s">
        <v>113</v>
      </c>
      <c r="AG38">
        <v>0</v>
      </c>
      <c r="AH38" t="s">
        <v>114</v>
      </c>
      <c r="AI38" t="s">
        <v>115</v>
      </c>
      <c r="AJ38" t="s">
        <v>208</v>
      </c>
      <c r="AN38" t="s">
        <v>117</v>
      </c>
      <c r="AO38" t="s">
        <v>118</v>
      </c>
      <c r="AP38" t="str">
        <f>"8"</f>
        <v>8</v>
      </c>
      <c r="AQ38" t="str">
        <f>"8"</f>
        <v>8</v>
      </c>
      <c r="AR38" t="str">
        <f>"0"</f>
        <v>0</v>
      </c>
      <c r="AS38" t="str">
        <f>"0"</f>
        <v>0</v>
      </c>
      <c r="AT38" t="str">
        <f>"0"</f>
        <v>0</v>
      </c>
      <c r="AU38" t="str">
        <f>"kayratova.1994@mail.ru"</f>
        <v>kayratova.1994@mail.ru</v>
      </c>
      <c r="AV38" t="str">
        <f>"87762239173"</f>
        <v>87762239173</v>
      </c>
      <c r="AW38" t="s">
        <v>119</v>
      </c>
      <c r="AZ38" t="s">
        <v>189</v>
      </c>
      <c r="BD38" t="s">
        <v>567</v>
      </c>
      <c r="BE38" t="s">
        <v>213</v>
      </c>
      <c r="BF38">
        <v>0</v>
      </c>
      <c r="BG38" t="str">
        <f>"[0]"</f>
        <v>[0]</v>
      </c>
      <c r="BH38" t="s">
        <v>118</v>
      </c>
      <c r="BI38">
        <v>0</v>
      </c>
      <c r="BU38" t="s">
        <v>123</v>
      </c>
      <c r="BV38" t="s">
        <v>567</v>
      </c>
      <c r="BW38" t="s">
        <v>568</v>
      </c>
      <c r="BX38" t="s">
        <v>569</v>
      </c>
      <c r="BY38" t="s">
        <v>570</v>
      </c>
      <c r="BZ38">
        <v>80</v>
      </c>
      <c r="CA38" t="s">
        <v>571</v>
      </c>
      <c r="CB38" t="s">
        <v>572</v>
      </c>
      <c r="CC38">
        <v>372235</v>
      </c>
      <c r="CD38" t="s">
        <v>171</v>
      </c>
      <c r="CE38" t="s">
        <v>573</v>
      </c>
      <c r="CI38" t="str">
        <f>"0"</f>
        <v>0</v>
      </c>
      <c r="CL38" t="s">
        <v>136</v>
      </c>
      <c r="CN38" t="s">
        <v>132</v>
      </c>
      <c r="CO38" t="s">
        <v>118</v>
      </c>
    </row>
    <row r="39" spans="1:93" x14ac:dyDescent="0.3">
      <c r="A39">
        <v>1729023</v>
      </c>
      <c r="B39">
        <v>141714</v>
      </c>
      <c r="C39" t="str">
        <f>"881122451485"</f>
        <v>881122451485</v>
      </c>
      <c r="D39" t="s">
        <v>574</v>
      </c>
      <c r="E39" t="s">
        <v>483</v>
      </c>
      <c r="F39" t="s">
        <v>458</v>
      </c>
      <c r="G39" s="1">
        <v>32469</v>
      </c>
      <c r="I39" t="s">
        <v>106</v>
      </c>
      <c r="J39" t="s">
        <v>107</v>
      </c>
      <c r="K39" t="s">
        <v>205</v>
      </c>
      <c r="P39" t="s">
        <v>109</v>
      </c>
      <c r="Q39" t="s">
        <v>136</v>
      </c>
      <c r="W39" t="str">
        <f>"2018-08-13T00:00:00"</f>
        <v>2018-08-13T00:00:00</v>
      </c>
      <c r="X39" t="str">
        <f>"189"</f>
        <v>189</v>
      </c>
      <c r="Z39" t="s">
        <v>396</v>
      </c>
      <c r="AA39" t="s">
        <v>111</v>
      </c>
      <c r="AE39" t="s">
        <v>138</v>
      </c>
      <c r="AF39" t="s">
        <v>113</v>
      </c>
      <c r="AG39">
        <v>1.5</v>
      </c>
      <c r="AH39" t="s">
        <v>114</v>
      </c>
      <c r="AI39" t="s">
        <v>115</v>
      </c>
      <c r="AJ39" t="s">
        <v>116</v>
      </c>
      <c r="AN39" t="s">
        <v>117</v>
      </c>
      <c r="AO39" t="s">
        <v>118</v>
      </c>
      <c r="AP39" t="str">
        <f>"2"</f>
        <v>2</v>
      </c>
      <c r="AQ39" t="str">
        <f>"7"</f>
        <v>7</v>
      </c>
      <c r="AR39" t="str">
        <f>"7"</f>
        <v>7</v>
      </c>
      <c r="AS39" t="str">
        <f>"7"</f>
        <v>7</v>
      </c>
      <c r="AT39" t="str">
        <f>"5"</f>
        <v>5</v>
      </c>
      <c r="AU39" t="str">
        <f>"oksano4ka_v88@mail.ru"</f>
        <v>oksano4ka_v88@mail.ru</v>
      </c>
      <c r="AV39" t="str">
        <f>"87024418851"</f>
        <v>87024418851</v>
      </c>
      <c r="AW39" t="s">
        <v>159</v>
      </c>
      <c r="AX39" t="s">
        <v>423</v>
      </c>
      <c r="AZ39" t="s">
        <v>211</v>
      </c>
      <c r="BD39" t="s">
        <v>320</v>
      </c>
      <c r="BE39" t="s">
        <v>122</v>
      </c>
      <c r="BF39">
        <v>1.5</v>
      </c>
      <c r="BG39" t="str">
        <f>"[24]"</f>
        <v>[24]</v>
      </c>
      <c r="BH39" t="s">
        <v>118</v>
      </c>
      <c r="BI39">
        <v>0</v>
      </c>
      <c r="BN39" t="s">
        <v>161</v>
      </c>
      <c r="BR39" t="s">
        <v>131</v>
      </c>
      <c r="BU39" t="s">
        <v>575</v>
      </c>
      <c r="BV39" t="s">
        <v>576</v>
      </c>
      <c r="BW39" t="s">
        <v>577</v>
      </c>
      <c r="BX39" t="s">
        <v>218</v>
      </c>
      <c r="BY39" t="s">
        <v>219</v>
      </c>
      <c r="BZ39" t="s">
        <v>578</v>
      </c>
      <c r="CA39" t="s">
        <v>579</v>
      </c>
      <c r="CB39" t="s">
        <v>580</v>
      </c>
      <c r="CC39" t="s">
        <v>581</v>
      </c>
      <c r="CD39" t="s">
        <v>320</v>
      </c>
      <c r="CE39" t="s">
        <v>582</v>
      </c>
      <c r="CF39" t="s">
        <v>153</v>
      </c>
      <c r="CI39" t="str">
        <f>"0"</f>
        <v>0</v>
      </c>
      <c r="CL39" t="s">
        <v>131</v>
      </c>
      <c r="CN39" t="s">
        <v>132</v>
      </c>
      <c r="CO39" t="s">
        <v>118</v>
      </c>
    </row>
    <row r="40" spans="1:93" hidden="1" x14ac:dyDescent="0.3">
      <c r="A40">
        <v>1738877</v>
      </c>
      <c r="B40">
        <v>1300168</v>
      </c>
      <c r="C40" t="str">
        <f>"660104450282"</f>
        <v>660104450282</v>
      </c>
      <c r="D40" t="s">
        <v>583</v>
      </c>
      <c r="E40" t="s">
        <v>584</v>
      </c>
      <c r="F40" t="s">
        <v>433</v>
      </c>
      <c r="G40" s="1">
        <v>24111</v>
      </c>
      <c r="I40" t="s">
        <v>106</v>
      </c>
      <c r="J40" t="s">
        <v>107</v>
      </c>
      <c r="K40" t="s">
        <v>273</v>
      </c>
      <c r="P40" t="s">
        <v>109</v>
      </c>
      <c r="W40" t="str">
        <f>"2019-03-01T00:00:00"</f>
        <v>2019-03-01T00:00:00</v>
      </c>
      <c r="X40" t="str">
        <f>"62"</f>
        <v>62</v>
      </c>
      <c r="Z40" t="s">
        <v>540</v>
      </c>
      <c r="AA40" t="s">
        <v>111</v>
      </c>
      <c r="AE40" t="s">
        <v>138</v>
      </c>
      <c r="AF40" t="s">
        <v>585</v>
      </c>
      <c r="AG40">
        <v>1</v>
      </c>
      <c r="AH40" t="s">
        <v>114</v>
      </c>
      <c r="AI40" t="s">
        <v>115</v>
      </c>
      <c r="AJ40" t="s">
        <v>208</v>
      </c>
      <c r="AN40" t="s">
        <v>486</v>
      </c>
      <c r="AP40" t="str">
        <f>"29"</f>
        <v>29</v>
      </c>
      <c r="AQ40" t="str">
        <f>"33"</f>
        <v>33</v>
      </c>
      <c r="AS40" t="str">
        <f>"0"</f>
        <v>0</v>
      </c>
      <c r="AT40" t="str">
        <f>"4"</f>
        <v>4</v>
      </c>
      <c r="BH40" t="s">
        <v>489</v>
      </c>
      <c r="BI40">
        <v>0.5</v>
      </c>
      <c r="CE40" t="s">
        <v>130</v>
      </c>
    </row>
    <row r="41" spans="1:93" x14ac:dyDescent="0.3">
      <c r="A41">
        <v>1922592</v>
      </c>
      <c r="B41">
        <v>368754</v>
      </c>
      <c r="C41" t="str">
        <f>"950428400724"</f>
        <v>950428400724</v>
      </c>
      <c r="D41" t="s">
        <v>586</v>
      </c>
      <c r="E41" t="s">
        <v>587</v>
      </c>
      <c r="G41" s="1">
        <v>34817</v>
      </c>
      <c r="I41" t="s">
        <v>106</v>
      </c>
      <c r="J41" t="s">
        <v>107</v>
      </c>
      <c r="K41" t="s">
        <v>108</v>
      </c>
      <c r="P41" t="s">
        <v>109</v>
      </c>
      <c r="Q41" t="s">
        <v>136</v>
      </c>
      <c r="W41" t="str">
        <f>"2023-05-05T00:00:00"</f>
        <v>2023-05-05T00:00:00</v>
      </c>
      <c r="X41" t="str">
        <f>"4"</f>
        <v>4</v>
      </c>
      <c r="Z41" t="s">
        <v>110</v>
      </c>
      <c r="AA41" t="s">
        <v>111</v>
      </c>
      <c r="AE41" t="s">
        <v>112</v>
      </c>
      <c r="AF41" t="s">
        <v>113</v>
      </c>
      <c r="AG41">
        <v>0</v>
      </c>
      <c r="AH41" t="s">
        <v>114</v>
      </c>
      <c r="AI41" t="s">
        <v>229</v>
      </c>
      <c r="AJ41" t="s">
        <v>230</v>
      </c>
      <c r="AN41" t="s">
        <v>117</v>
      </c>
      <c r="AO41" t="s">
        <v>118</v>
      </c>
      <c r="AP41" t="str">
        <f>"1"</f>
        <v>1</v>
      </c>
      <c r="AQ41" t="str">
        <f>"1"</f>
        <v>1</v>
      </c>
      <c r="AR41" t="str">
        <f>"1"</f>
        <v>1</v>
      </c>
      <c r="AS41" t="str">
        <f>"1"</f>
        <v>1</v>
      </c>
      <c r="AT41" t="str">
        <f>"0"</f>
        <v>0</v>
      </c>
      <c r="AU41" t="str">
        <f>"1995aliya@mail.ru"</f>
        <v>1995aliya@mail.ru</v>
      </c>
      <c r="AV41" t="str">
        <f>"87051101911"</f>
        <v>87051101911</v>
      </c>
      <c r="AW41" t="s">
        <v>119</v>
      </c>
      <c r="AZ41" t="s">
        <v>177</v>
      </c>
      <c r="BD41" t="s">
        <v>190</v>
      </c>
      <c r="BE41" t="s">
        <v>122</v>
      </c>
      <c r="BF41">
        <v>0</v>
      </c>
      <c r="BG41" t="str">
        <f>"[0]"</f>
        <v>[0]</v>
      </c>
      <c r="BH41" t="s">
        <v>118</v>
      </c>
      <c r="BI41">
        <v>0</v>
      </c>
      <c r="BU41" t="s">
        <v>588</v>
      </c>
      <c r="CD41" t="s">
        <v>190</v>
      </c>
      <c r="CE41" t="s">
        <v>589</v>
      </c>
      <c r="CI41" t="str">
        <f>"4"</f>
        <v>4</v>
      </c>
      <c r="CL41" t="s">
        <v>136</v>
      </c>
      <c r="CN41" t="s">
        <v>201</v>
      </c>
      <c r="CO41" t="s">
        <v>118</v>
      </c>
    </row>
    <row r="42" spans="1:93" x14ac:dyDescent="0.3">
      <c r="A42">
        <v>1975443</v>
      </c>
      <c r="B42">
        <v>157538</v>
      </c>
      <c r="C42" t="str">
        <f>"701220450484"</f>
        <v>701220450484</v>
      </c>
      <c r="D42" t="s">
        <v>590</v>
      </c>
      <c r="E42" t="s">
        <v>375</v>
      </c>
      <c r="F42" t="s">
        <v>591</v>
      </c>
      <c r="G42" s="1">
        <v>25922</v>
      </c>
      <c r="I42" t="s">
        <v>106</v>
      </c>
      <c r="J42" t="s">
        <v>107</v>
      </c>
      <c r="K42" t="s">
        <v>205</v>
      </c>
      <c r="P42" t="s">
        <v>109</v>
      </c>
      <c r="Q42" t="s">
        <v>136</v>
      </c>
      <c r="W42" t="str">
        <f>"2020-08-25T00:00:00"</f>
        <v>2020-08-25T00:00:00</v>
      </c>
      <c r="X42" t="str">
        <f>"176"</f>
        <v>176</v>
      </c>
      <c r="Z42" t="s">
        <v>592</v>
      </c>
      <c r="AA42" t="s">
        <v>111</v>
      </c>
      <c r="AE42" t="s">
        <v>138</v>
      </c>
      <c r="AF42" t="s">
        <v>113</v>
      </c>
      <c r="AG42">
        <v>1</v>
      </c>
      <c r="AH42" t="s">
        <v>114</v>
      </c>
      <c r="AI42" t="s">
        <v>229</v>
      </c>
      <c r="AJ42" t="s">
        <v>230</v>
      </c>
      <c r="AN42" t="s">
        <v>117</v>
      </c>
      <c r="AO42" t="s">
        <v>118</v>
      </c>
      <c r="AP42" t="str">
        <f>"26"</f>
        <v>26</v>
      </c>
      <c r="AQ42" t="str">
        <f>"29"</f>
        <v>29</v>
      </c>
      <c r="AR42" t="str">
        <f>"29"</f>
        <v>29</v>
      </c>
      <c r="AS42" t="str">
        <f>"29"</f>
        <v>29</v>
      </c>
      <c r="AT42" t="str">
        <f t="shared" ref="AT42:AT47" si="1">"3"</f>
        <v>3</v>
      </c>
      <c r="AU42" t="str">
        <f>"lena_astra70@mail.ru"</f>
        <v>lena_astra70@mail.ru</v>
      </c>
      <c r="AV42" t="str">
        <f>"87016128790"</f>
        <v>87016128790</v>
      </c>
      <c r="AW42" t="s">
        <v>159</v>
      </c>
      <c r="AX42" t="s">
        <v>232</v>
      </c>
      <c r="AZ42" t="s">
        <v>211</v>
      </c>
      <c r="BD42" t="s">
        <v>593</v>
      </c>
      <c r="BE42" t="s">
        <v>122</v>
      </c>
      <c r="BF42">
        <v>1</v>
      </c>
      <c r="BG42" t="str">
        <f>"[16]"</f>
        <v>[16]</v>
      </c>
      <c r="BH42" t="s">
        <v>113</v>
      </c>
      <c r="BI42">
        <v>0.5</v>
      </c>
      <c r="BJ42" t="s">
        <v>119</v>
      </c>
      <c r="BL42" t="s">
        <v>121</v>
      </c>
      <c r="BM42">
        <v>0.5</v>
      </c>
      <c r="BN42" t="s">
        <v>161</v>
      </c>
      <c r="BR42" t="s">
        <v>131</v>
      </c>
      <c r="BU42" t="s">
        <v>594</v>
      </c>
      <c r="BV42" t="s">
        <v>595</v>
      </c>
      <c r="BW42" t="s">
        <v>596</v>
      </c>
      <c r="BX42" t="s">
        <v>597</v>
      </c>
      <c r="BY42" t="s">
        <v>464</v>
      </c>
      <c r="BZ42" t="s">
        <v>598</v>
      </c>
      <c r="CA42" t="s">
        <v>599</v>
      </c>
      <c r="CB42" t="s">
        <v>600</v>
      </c>
      <c r="CC42" t="s">
        <v>601</v>
      </c>
      <c r="CD42" t="s">
        <v>593</v>
      </c>
      <c r="CE42" t="s">
        <v>602</v>
      </c>
      <c r="CF42" t="s">
        <v>153</v>
      </c>
      <c r="CI42" t="str">
        <f t="shared" ref="CI42:CI51" si="2">"0"</f>
        <v>0</v>
      </c>
      <c r="CL42" t="s">
        <v>131</v>
      </c>
      <c r="CN42" t="s">
        <v>132</v>
      </c>
      <c r="CO42" t="s">
        <v>118</v>
      </c>
    </row>
    <row r="43" spans="1:93" x14ac:dyDescent="0.3">
      <c r="A43">
        <v>1975587</v>
      </c>
      <c r="B43">
        <v>1434393</v>
      </c>
      <c r="C43" t="str">
        <f>"980227351428"</f>
        <v>980227351428</v>
      </c>
      <c r="D43" t="s">
        <v>603</v>
      </c>
      <c r="E43" t="s">
        <v>604</v>
      </c>
      <c r="G43" s="1">
        <v>35853</v>
      </c>
      <c r="I43" t="s">
        <v>106</v>
      </c>
      <c r="J43" t="s">
        <v>107</v>
      </c>
      <c r="K43" t="s">
        <v>108</v>
      </c>
      <c r="P43" t="s">
        <v>109</v>
      </c>
      <c r="Q43" t="s">
        <v>136</v>
      </c>
      <c r="W43" t="str">
        <f>"2020-08-29T00:00:00"</f>
        <v>2020-08-29T00:00:00</v>
      </c>
      <c r="X43" t="str">
        <f>"183"</f>
        <v>183</v>
      </c>
      <c r="Z43" t="s">
        <v>110</v>
      </c>
      <c r="AA43" t="s">
        <v>111</v>
      </c>
      <c r="AE43" t="s">
        <v>138</v>
      </c>
      <c r="AF43" t="s">
        <v>113</v>
      </c>
      <c r="AG43">
        <v>1.5</v>
      </c>
      <c r="AH43" t="s">
        <v>114</v>
      </c>
      <c r="AI43" t="s">
        <v>115</v>
      </c>
      <c r="AJ43" t="s">
        <v>116</v>
      </c>
      <c r="AN43" t="s">
        <v>117</v>
      </c>
      <c r="AO43" t="s">
        <v>118</v>
      </c>
      <c r="AP43" t="str">
        <f>"3"</f>
        <v>3</v>
      </c>
      <c r="AQ43" t="str">
        <f>"6"</f>
        <v>6</v>
      </c>
      <c r="AR43" t="str">
        <f>"3"</f>
        <v>3</v>
      </c>
      <c r="AS43" t="str">
        <f>"3"</f>
        <v>3</v>
      </c>
      <c r="AT43" t="str">
        <f t="shared" si="1"/>
        <v>3</v>
      </c>
      <c r="AU43" t="str">
        <f>"ikrambekyzya@mail.ru"</f>
        <v>ikrambekyzya@mail.ru</v>
      </c>
      <c r="AV43" t="str">
        <f>"87718998618"</f>
        <v>87718998618</v>
      </c>
      <c r="AW43" t="s">
        <v>119</v>
      </c>
      <c r="AZ43" t="s">
        <v>189</v>
      </c>
      <c r="BD43" t="s">
        <v>397</v>
      </c>
      <c r="BE43" t="s">
        <v>122</v>
      </c>
      <c r="BF43">
        <v>1.5</v>
      </c>
      <c r="BG43" t="str">
        <f>"[24]"</f>
        <v>[24]</v>
      </c>
      <c r="BH43" t="s">
        <v>118</v>
      </c>
      <c r="BI43">
        <v>0</v>
      </c>
      <c r="BN43" t="s">
        <v>142</v>
      </c>
      <c r="BR43" t="s">
        <v>131</v>
      </c>
      <c r="BU43" t="s">
        <v>605</v>
      </c>
      <c r="BV43" t="s">
        <v>606</v>
      </c>
      <c r="BW43" t="s">
        <v>607</v>
      </c>
      <c r="BX43" t="s">
        <v>608</v>
      </c>
      <c r="BY43" t="s">
        <v>195</v>
      </c>
      <c r="BZ43" t="s">
        <v>609</v>
      </c>
      <c r="CA43" t="s">
        <v>610</v>
      </c>
      <c r="CB43" t="s">
        <v>611</v>
      </c>
      <c r="CC43" t="s">
        <v>612</v>
      </c>
      <c r="CD43" t="s">
        <v>397</v>
      </c>
      <c r="CE43" t="s">
        <v>613</v>
      </c>
      <c r="CF43" t="s">
        <v>153</v>
      </c>
      <c r="CI43" t="str">
        <f t="shared" si="2"/>
        <v>0</v>
      </c>
      <c r="CL43" t="s">
        <v>131</v>
      </c>
      <c r="CN43" t="s">
        <v>132</v>
      </c>
      <c r="CO43" t="s">
        <v>118</v>
      </c>
    </row>
    <row r="44" spans="1:93" x14ac:dyDescent="0.3">
      <c r="A44">
        <v>1981225</v>
      </c>
      <c r="B44">
        <v>156122</v>
      </c>
      <c r="C44" t="str">
        <f>"710402401444"</f>
        <v>710402401444</v>
      </c>
      <c r="D44" t="s">
        <v>614</v>
      </c>
      <c r="E44" t="s">
        <v>615</v>
      </c>
      <c r="F44" t="s">
        <v>616</v>
      </c>
      <c r="G44" s="1">
        <v>26025</v>
      </c>
      <c r="I44" t="s">
        <v>106</v>
      </c>
      <c r="J44" t="s">
        <v>107</v>
      </c>
      <c r="K44" t="s">
        <v>108</v>
      </c>
      <c r="P44" t="s">
        <v>109</v>
      </c>
      <c r="Q44" t="s">
        <v>136</v>
      </c>
      <c r="W44" t="str">
        <f>"2020-09-01T00:00:00"</f>
        <v>2020-09-01T00:00:00</v>
      </c>
      <c r="X44" t="str">
        <f>"192"</f>
        <v>192</v>
      </c>
      <c r="Z44" t="s">
        <v>110</v>
      </c>
      <c r="AA44" t="s">
        <v>111</v>
      </c>
      <c r="AE44" t="s">
        <v>138</v>
      </c>
      <c r="AF44" t="s">
        <v>113</v>
      </c>
      <c r="AG44">
        <v>1.5</v>
      </c>
      <c r="AH44" t="s">
        <v>114</v>
      </c>
      <c r="AI44" t="s">
        <v>115</v>
      </c>
      <c r="AJ44" t="s">
        <v>116</v>
      </c>
      <c r="AN44" t="s">
        <v>117</v>
      </c>
      <c r="AO44" t="s">
        <v>118</v>
      </c>
      <c r="AP44" t="str">
        <f>"19"</f>
        <v>19</v>
      </c>
      <c r="AQ44" t="str">
        <f>"22"</f>
        <v>22</v>
      </c>
      <c r="AR44" t="str">
        <f>"21"</f>
        <v>21</v>
      </c>
      <c r="AS44" t="str">
        <f>"21"</f>
        <v>21</v>
      </c>
      <c r="AT44" t="str">
        <f t="shared" si="1"/>
        <v>3</v>
      </c>
      <c r="AU44" t="str">
        <f>"zhuvarova71@mail.ru"</f>
        <v>zhuvarova71@mail.ru</v>
      </c>
      <c r="AV44" t="str">
        <f>"87055855524"</f>
        <v>87055855524</v>
      </c>
      <c r="AW44" t="s">
        <v>139</v>
      </c>
      <c r="AX44" t="s">
        <v>423</v>
      </c>
      <c r="AY44" t="s">
        <v>210</v>
      </c>
      <c r="AZ44" t="s">
        <v>211</v>
      </c>
      <c r="BD44" t="s">
        <v>141</v>
      </c>
      <c r="BE44" t="s">
        <v>122</v>
      </c>
      <c r="BF44">
        <v>1.5</v>
      </c>
      <c r="BG44" t="str">
        <f>"[24]"</f>
        <v>[24]</v>
      </c>
      <c r="BH44" t="s">
        <v>529</v>
      </c>
      <c r="BI44">
        <v>0.7</v>
      </c>
      <c r="BJ44" t="s">
        <v>119</v>
      </c>
      <c r="BL44" t="s">
        <v>171</v>
      </c>
      <c r="BM44">
        <v>0</v>
      </c>
      <c r="BN44" t="s">
        <v>161</v>
      </c>
      <c r="BR44" t="s">
        <v>131</v>
      </c>
      <c r="BU44" t="s">
        <v>617</v>
      </c>
      <c r="BV44" t="s">
        <v>618</v>
      </c>
      <c r="BW44" t="s">
        <v>619</v>
      </c>
      <c r="BX44" t="s">
        <v>620</v>
      </c>
      <c r="BY44" t="s">
        <v>621</v>
      </c>
      <c r="BZ44" t="s">
        <v>622</v>
      </c>
      <c r="CA44" t="s">
        <v>623</v>
      </c>
      <c r="CB44" t="s">
        <v>624</v>
      </c>
      <c r="CC44" t="s">
        <v>625</v>
      </c>
      <c r="CD44" t="s">
        <v>171</v>
      </c>
      <c r="CE44" t="s">
        <v>626</v>
      </c>
      <c r="CF44" t="s">
        <v>153</v>
      </c>
      <c r="CI44" t="str">
        <f t="shared" si="2"/>
        <v>0</v>
      </c>
      <c r="CL44" t="s">
        <v>136</v>
      </c>
      <c r="CN44" t="s">
        <v>132</v>
      </c>
      <c r="CO44" t="s">
        <v>244</v>
      </c>
    </row>
    <row r="45" spans="1:93" x14ac:dyDescent="0.3">
      <c r="A45">
        <v>1981470</v>
      </c>
      <c r="B45">
        <v>159414</v>
      </c>
      <c r="C45" t="str">
        <f>"740401300886"</f>
        <v>740401300886</v>
      </c>
      <c r="D45" t="s">
        <v>627</v>
      </c>
      <c r="E45" t="s">
        <v>628</v>
      </c>
      <c r="F45" t="s">
        <v>629</v>
      </c>
      <c r="G45" s="1">
        <v>27120</v>
      </c>
      <c r="I45" t="s">
        <v>548</v>
      </c>
      <c r="J45" t="s">
        <v>107</v>
      </c>
      <c r="K45" t="s">
        <v>108</v>
      </c>
      <c r="P45" t="s">
        <v>549</v>
      </c>
      <c r="Q45" t="s">
        <v>136</v>
      </c>
      <c r="W45" t="str">
        <f>"2020-08-28T00:00:00"</f>
        <v>2020-08-28T00:00:00</v>
      </c>
      <c r="X45" t="str">
        <f>"180"</f>
        <v>180</v>
      </c>
      <c r="Z45" t="s">
        <v>137</v>
      </c>
      <c r="AA45" t="s">
        <v>111</v>
      </c>
      <c r="AE45" t="s">
        <v>138</v>
      </c>
      <c r="AF45" t="s">
        <v>113</v>
      </c>
      <c r="AG45">
        <v>1.5</v>
      </c>
      <c r="AH45" t="s">
        <v>114</v>
      </c>
      <c r="AI45" t="s">
        <v>115</v>
      </c>
      <c r="AJ45" t="s">
        <v>116</v>
      </c>
      <c r="AN45" t="s">
        <v>117</v>
      </c>
      <c r="AO45" t="s">
        <v>118</v>
      </c>
      <c r="AP45" t="str">
        <f>"22"</f>
        <v>22</v>
      </c>
      <c r="AQ45" t="str">
        <f>"25"</f>
        <v>25</v>
      </c>
      <c r="AR45" t="str">
        <f>"25"</f>
        <v>25</v>
      </c>
      <c r="AS45" t="str">
        <f>"25"</f>
        <v>25</v>
      </c>
      <c r="AT45" t="str">
        <f t="shared" si="1"/>
        <v>3</v>
      </c>
      <c r="AU45" t="str">
        <f>"kayrat.kabylbayev@bk.ru"</f>
        <v>kayrat.kabylbayev@bk.ru</v>
      </c>
      <c r="AV45" t="str">
        <f>"87759484541"</f>
        <v>87759484541</v>
      </c>
      <c r="AW45" t="s">
        <v>630</v>
      </c>
      <c r="AX45" t="s">
        <v>631</v>
      </c>
      <c r="AZ45" t="s">
        <v>211</v>
      </c>
      <c r="BD45" t="s">
        <v>553</v>
      </c>
      <c r="BE45" t="s">
        <v>122</v>
      </c>
      <c r="BF45">
        <v>1.5</v>
      </c>
      <c r="BG45" t="str">
        <f>"[24]"</f>
        <v>[24]</v>
      </c>
      <c r="BH45" t="s">
        <v>118</v>
      </c>
      <c r="BI45">
        <v>0</v>
      </c>
      <c r="BN45" t="s">
        <v>161</v>
      </c>
      <c r="BR45" t="s">
        <v>131</v>
      </c>
      <c r="BU45" t="s">
        <v>632</v>
      </c>
      <c r="BV45" t="s">
        <v>633</v>
      </c>
      <c r="BW45" t="s">
        <v>634</v>
      </c>
      <c r="BX45" t="s">
        <v>635</v>
      </c>
      <c r="BY45" t="s">
        <v>279</v>
      </c>
      <c r="BZ45" t="s">
        <v>636</v>
      </c>
      <c r="CA45" t="s">
        <v>637</v>
      </c>
      <c r="CB45" t="s">
        <v>638</v>
      </c>
      <c r="CC45" t="s">
        <v>639</v>
      </c>
      <c r="CD45" t="s">
        <v>553</v>
      </c>
      <c r="CE45" t="s">
        <v>640</v>
      </c>
      <c r="CF45" t="s">
        <v>153</v>
      </c>
      <c r="CI45" t="str">
        <f t="shared" si="2"/>
        <v>0</v>
      </c>
      <c r="CJ45" t="s">
        <v>136</v>
      </c>
      <c r="CL45" t="s">
        <v>136</v>
      </c>
      <c r="CN45" t="s">
        <v>132</v>
      </c>
      <c r="CO45" t="s">
        <v>118</v>
      </c>
    </row>
    <row r="46" spans="1:93" x14ac:dyDescent="0.3">
      <c r="A46">
        <v>1983571</v>
      </c>
      <c r="B46">
        <v>144175</v>
      </c>
      <c r="C46" t="str">
        <f>"890519450830"</f>
        <v>890519450830</v>
      </c>
      <c r="D46" t="s">
        <v>641</v>
      </c>
      <c r="E46" t="s">
        <v>642</v>
      </c>
      <c r="F46" t="s">
        <v>287</v>
      </c>
      <c r="G46" s="1">
        <v>32647</v>
      </c>
      <c r="I46" t="s">
        <v>106</v>
      </c>
      <c r="J46" t="s">
        <v>107</v>
      </c>
      <c r="K46" t="s">
        <v>108</v>
      </c>
      <c r="P46" t="s">
        <v>109</v>
      </c>
      <c r="Q46" t="s">
        <v>136</v>
      </c>
      <c r="W46" t="str">
        <f>"2020-08-25T00:00:00"</f>
        <v>2020-08-25T00:00:00</v>
      </c>
      <c r="X46" t="str">
        <f>"175"</f>
        <v>175</v>
      </c>
      <c r="Z46" t="s">
        <v>396</v>
      </c>
      <c r="AA46" t="s">
        <v>111</v>
      </c>
      <c r="AE46" t="s">
        <v>138</v>
      </c>
      <c r="AF46" t="s">
        <v>207</v>
      </c>
      <c r="AG46">
        <v>0.9</v>
      </c>
      <c r="AH46" t="s">
        <v>114</v>
      </c>
      <c r="AI46" t="s">
        <v>115</v>
      </c>
      <c r="AJ46" t="s">
        <v>208</v>
      </c>
      <c r="AN46" t="s">
        <v>117</v>
      </c>
      <c r="AO46" t="s">
        <v>118</v>
      </c>
      <c r="AP46" t="str">
        <f>"6"</f>
        <v>6</v>
      </c>
      <c r="AQ46" t="str">
        <f>"9"</f>
        <v>9</v>
      </c>
      <c r="AR46" t="str">
        <f>"9"</f>
        <v>9</v>
      </c>
      <c r="AS46" t="str">
        <f>"9"</f>
        <v>9</v>
      </c>
      <c r="AT46" t="str">
        <f t="shared" si="1"/>
        <v>3</v>
      </c>
      <c r="AU46" t="str">
        <f>"Www.shynar@bk.ru"</f>
        <v>Www.shynar@bk.ru</v>
      </c>
      <c r="AV46" t="str">
        <f>"87056610071"</f>
        <v>87056610071</v>
      </c>
      <c r="AW46" t="s">
        <v>119</v>
      </c>
      <c r="AZ46" t="s">
        <v>211</v>
      </c>
      <c r="BD46" t="s">
        <v>212</v>
      </c>
      <c r="BE46" t="s">
        <v>213</v>
      </c>
      <c r="BF46">
        <v>0.9</v>
      </c>
      <c r="BG46" t="str">
        <f>"[14]"</f>
        <v>[14]</v>
      </c>
      <c r="BH46" t="s">
        <v>643</v>
      </c>
      <c r="BI46">
        <v>1</v>
      </c>
      <c r="BJ46" t="s">
        <v>119</v>
      </c>
      <c r="BN46" t="s">
        <v>161</v>
      </c>
      <c r="BR46" t="s">
        <v>131</v>
      </c>
      <c r="BU46" t="s">
        <v>644</v>
      </c>
      <c r="BV46" t="s">
        <v>645</v>
      </c>
      <c r="BW46" t="s">
        <v>646</v>
      </c>
      <c r="BX46" t="s">
        <v>647</v>
      </c>
      <c r="BY46" t="s">
        <v>279</v>
      </c>
      <c r="BZ46" t="s">
        <v>648</v>
      </c>
      <c r="CA46" t="s">
        <v>649</v>
      </c>
      <c r="CB46" t="s">
        <v>650</v>
      </c>
      <c r="CC46" t="s">
        <v>651</v>
      </c>
      <c r="CD46" t="s">
        <v>171</v>
      </c>
      <c r="CE46" t="s">
        <v>224</v>
      </c>
      <c r="CF46" s="2">
        <v>45383</v>
      </c>
      <c r="CI46" t="str">
        <f t="shared" si="2"/>
        <v>0</v>
      </c>
      <c r="CJ46" t="s">
        <v>136</v>
      </c>
      <c r="CL46" t="s">
        <v>131</v>
      </c>
      <c r="CN46" t="s">
        <v>132</v>
      </c>
      <c r="CO46" t="s">
        <v>185</v>
      </c>
    </row>
    <row r="47" spans="1:93" x14ac:dyDescent="0.3">
      <c r="A47">
        <v>1984011</v>
      </c>
      <c r="B47">
        <v>1399115</v>
      </c>
      <c r="C47" t="str">
        <f>"990914451440"</f>
        <v>990914451440</v>
      </c>
      <c r="D47" t="s">
        <v>652</v>
      </c>
      <c r="E47" t="s">
        <v>653</v>
      </c>
      <c r="G47" s="1">
        <v>36417</v>
      </c>
      <c r="I47" t="s">
        <v>106</v>
      </c>
      <c r="J47" t="s">
        <v>107</v>
      </c>
      <c r="K47" t="s">
        <v>108</v>
      </c>
      <c r="P47" t="s">
        <v>109</v>
      </c>
      <c r="Q47" t="s">
        <v>136</v>
      </c>
      <c r="W47" t="str">
        <f>"2020-08-25T00:00:00"</f>
        <v>2020-08-25T00:00:00</v>
      </c>
      <c r="X47" t="str">
        <f>"174"</f>
        <v>174</v>
      </c>
      <c r="Z47" t="s">
        <v>342</v>
      </c>
      <c r="AA47" t="s">
        <v>111</v>
      </c>
      <c r="AE47" t="s">
        <v>138</v>
      </c>
      <c r="AF47" t="s">
        <v>654</v>
      </c>
      <c r="AG47">
        <v>1.3</v>
      </c>
      <c r="AH47" t="s">
        <v>114</v>
      </c>
      <c r="AI47" t="s">
        <v>115</v>
      </c>
      <c r="AJ47" t="s">
        <v>208</v>
      </c>
      <c r="AN47" t="s">
        <v>117</v>
      </c>
      <c r="AO47" t="s">
        <v>118</v>
      </c>
      <c r="AP47" t="str">
        <f>"1"</f>
        <v>1</v>
      </c>
      <c r="AQ47" t="str">
        <f>"4"</f>
        <v>4</v>
      </c>
      <c r="AR47" t="str">
        <f>"4"</f>
        <v>4</v>
      </c>
      <c r="AS47" t="str">
        <f>"4"</f>
        <v>4</v>
      </c>
      <c r="AT47" t="str">
        <f t="shared" si="1"/>
        <v>3</v>
      </c>
      <c r="AU47" t="str">
        <f>"ayanur.murat@mail.ru"</f>
        <v>ayanur.murat@mail.ru</v>
      </c>
      <c r="AV47" t="str">
        <f>"87774823795"</f>
        <v>87774823795</v>
      </c>
      <c r="AW47" t="s">
        <v>119</v>
      </c>
      <c r="AZ47" t="s">
        <v>189</v>
      </c>
      <c r="BH47" t="s">
        <v>118</v>
      </c>
      <c r="BI47">
        <v>0</v>
      </c>
      <c r="BN47" t="s">
        <v>142</v>
      </c>
      <c r="BR47" t="s">
        <v>131</v>
      </c>
      <c r="BU47" t="s">
        <v>655</v>
      </c>
      <c r="BV47" t="s">
        <v>426</v>
      </c>
      <c r="BW47" t="s">
        <v>656</v>
      </c>
      <c r="BX47" t="s">
        <v>657</v>
      </c>
      <c r="BY47" t="s">
        <v>311</v>
      </c>
      <c r="BZ47" t="s">
        <v>658</v>
      </c>
      <c r="CA47" t="s">
        <v>659</v>
      </c>
      <c r="CB47" t="s">
        <v>660</v>
      </c>
      <c r="CC47" t="s">
        <v>661</v>
      </c>
      <c r="CD47" t="s">
        <v>171</v>
      </c>
      <c r="CE47" t="s">
        <v>662</v>
      </c>
      <c r="CI47" t="str">
        <f t="shared" si="2"/>
        <v>0</v>
      </c>
      <c r="CL47" t="s">
        <v>131</v>
      </c>
      <c r="CN47" t="s">
        <v>132</v>
      </c>
      <c r="CO47" t="s">
        <v>118</v>
      </c>
    </row>
    <row r="48" spans="1:93" x14ac:dyDescent="0.3">
      <c r="A48">
        <v>2169626</v>
      </c>
      <c r="B48">
        <v>55931</v>
      </c>
      <c r="C48" t="str">
        <f>"821023450874"</f>
        <v>821023450874</v>
      </c>
      <c r="D48" t="s">
        <v>663</v>
      </c>
      <c r="E48" t="s">
        <v>203</v>
      </c>
      <c r="F48" t="s">
        <v>664</v>
      </c>
      <c r="G48" s="1">
        <v>30247</v>
      </c>
      <c r="I48" t="s">
        <v>106</v>
      </c>
      <c r="J48" t="s">
        <v>107</v>
      </c>
      <c r="K48" t="s">
        <v>665</v>
      </c>
      <c r="P48" t="s">
        <v>109</v>
      </c>
      <c r="Q48" t="s">
        <v>136</v>
      </c>
      <c r="W48" t="str">
        <f>"2021-04-06T00:00:00"</f>
        <v>2021-04-06T00:00:00</v>
      </c>
      <c r="X48" t="str">
        <f>"60"</f>
        <v>60</v>
      </c>
      <c r="Z48" t="s">
        <v>528</v>
      </c>
      <c r="AA48" t="s">
        <v>111</v>
      </c>
      <c r="AE48" t="s">
        <v>138</v>
      </c>
      <c r="AF48" t="s">
        <v>207</v>
      </c>
      <c r="AG48">
        <v>1.2</v>
      </c>
      <c r="AH48" t="s">
        <v>114</v>
      </c>
      <c r="AI48" t="s">
        <v>115</v>
      </c>
      <c r="AJ48" t="s">
        <v>116</v>
      </c>
      <c r="AN48" t="s">
        <v>117</v>
      </c>
      <c r="AO48" t="s">
        <v>118</v>
      </c>
      <c r="AP48" t="str">
        <f>"9"</f>
        <v>9</v>
      </c>
      <c r="AQ48" t="str">
        <f>"11"</f>
        <v>11</v>
      </c>
      <c r="AR48" t="str">
        <f>"7"</f>
        <v>7</v>
      </c>
      <c r="AS48" t="str">
        <f>"7"</f>
        <v>7</v>
      </c>
      <c r="AT48" t="str">
        <f>"2"</f>
        <v>2</v>
      </c>
      <c r="AU48" t="str">
        <f>"akm_tkachenko@mail.kz"</f>
        <v>akm_tkachenko@mail.kz</v>
      </c>
      <c r="AV48" t="str">
        <f>"87770386286"</f>
        <v>87770386286</v>
      </c>
      <c r="AW48" t="s">
        <v>119</v>
      </c>
      <c r="AZ48" t="s">
        <v>211</v>
      </c>
      <c r="BD48" t="s">
        <v>212</v>
      </c>
      <c r="BE48" t="s">
        <v>122</v>
      </c>
      <c r="BF48">
        <v>1.2</v>
      </c>
      <c r="BG48" t="str">
        <f>"[19]"</f>
        <v>[19]</v>
      </c>
      <c r="BH48" t="s">
        <v>118</v>
      </c>
      <c r="BI48">
        <v>0</v>
      </c>
      <c r="BN48" t="s">
        <v>161</v>
      </c>
      <c r="BR48" t="s">
        <v>131</v>
      </c>
      <c r="BU48" t="s">
        <v>666</v>
      </c>
      <c r="BV48" t="s">
        <v>212</v>
      </c>
      <c r="BW48" t="s">
        <v>667</v>
      </c>
      <c r="BX48" t="s">
        <v>125</v>
      </c>
      <c r="BY48" t="s">
        <v>570</v>
      </c>
      <c r="BZ48">
        <v>120</v>
      </c>
      <c r="CA48" t="s">
        <v>668</v>
      </c>
      <c r="CB48" t="s">
        <v>669</v>
      </c>
      <c r="CC48" t="s">
        <v>670</v>
      </c>
      <c r="CD48" t="s">
        <v>171</v>
      </c>
      <c r="CE48" t="s">
        <v>338</v>
      </c>
      <c r="CF48" s="2">
        <v>45383</v>
      </c>
      <c r="CI48" t="str">
        <f t="shared" si="2"/>
        <v>0</v>
      </c>
      <c r="CJ48" t="s">
        <v>136</v>
      </c>
      <c r="CL48" t="s">
        <v>131</v>
      </c>
      <c r="CN48" t="s">
        <v>132</v>
      </c>
      <c r="CO48" t="s">
        <v>185</v>
      </c>
    </row>
    <row r="49" spans="1:93" x14ac:dyDescent="0.3">
      <c r="A49">
        <v>2259372</v>
      </c>
      <c r="B49">
        <v>72318</v>
      </c>
      <c r="C49" t="str">
        <f>"961202450687"</f>
        <v>961202450687</v>
      </c>
      <c r="D49" t="s">
        <v>671</v>
      </c>
      <c r="E49" t="s">
        <v>672</v>
      </c>
      <c r="F49" t="s">
        <v>673</v>
      </c>
      <c r="G49" s="1">
        <v>35401</v>
      </c>
      <c r="I49" t="s">
        <v>106</v>
      </c>
      <c r="J49" t="s">
        <v>107</v>
      </c>
      <c r="K49" t="s">
        <v>108</v>
      </c>
      <c r="P49" t="s">
        <v>109</v>
      </c>
      <c r="Q49" t="s">
        <v>136</v>
      </c>
      <c r="W49" t="str">
        <f>"2021-08-26T00:00:00"</f>
        <v>2021-08-26T00:00:00</v>
      </c>
      <c r="X49" t="str">
        <f>"135"</f>
        <v>135</v>
      </c>
      <c r="Z49" t="s">
        <v>528</v>
      </c>
      <c r="AA49" t="s">
        <v>111</v>
      </c>
      <c r="AE49" t="s">
        <v>138</v>
      </c>
      <c r="AF49" t="s">
        <v>207</v>
      </c>
      <c r="AG49">
        <v>1.4</v>
      </c>
      <c r="AH49" t="s">
        <v>114</v>
      </c>
      <c r="AI49" t="s">
        <v>115</v>
      </c>
      <c r="AJ49" t="s">
        <v>116</v>
      </c>
      <c r="AN49" t="s">
        <v>117</v>
      </c>
      <c r="AO49" t="s">
        <v>118</v>
      </c>
      <c r="AP49" t="str">
        <f>"2"</f>
        <v>2</v>
      </c>
      <c r="AQ49" t="str">
        <f>"4"</f>
        <v>4</v>
      </c>
      <c r="AR49" t="str">
        <f>"4"</f>
        <v>4</v>
      </c>
      <c r="AS49" t="str">
        <f>"4"</f>
        <v>4</v>
      </c>
      <c r="AT49" t="str">
        <f>"2"</f>
        <v>2</v>
      </c>
      <c r="AU49" t="str">
        <f>"kakenova_sabina01@mail.ru"</f>
        <v>kakenova_sabina01@mail.ru</v>
      </c>
      <c r="AV49" t="str">
        <f>"87471686211"</f>
        <v>87471686211</v>
      </c>
      <c r="AW49" t="s">
        <v>159</v>
      </c>
      <c r="AX49" t="s">
        <v>232</v>
      </c>
      <c r="AZ49" t="s">
        <v>189</v>
      </c>
      <c r="BD49" t="s">
        <v>212</v>
      </c>
      <c r="BE49" t="s">
        <v>122</v>
      </c>
      <c r="BF49">
        <v>1.4</v>
      </c>
      <c r="BG49" t="str">
        <f>"[23]"</f>
        <v>[23]</v>
      </c>
      <c r="BH49" t="s">
        <v>118</v>
      </c>
      <c r="BI49">
        <v>0</v>
      </c>
      <c r="BN49" t="s">
        <v>161</v>
      </c>
      <c r="BR49" t="s">
        <v>131</v>
      </c>
      <c r="BU49" t="s">
        <v>143</v>
      </c>
      <c r="BV49" t="s">
        <v>674</v>
      </c>
      <c r="BW49" t="s">
        <v>675</v>
      </c>
      <c r="BX49" t="s">
        <v>146</v>
      </c>
      <c r="BY49" t="s">
        <v>147</v>
      </c>
      <c r="BZ49" t="s">
        <v>676</v>
      </c>
      <c r="CA49" t="s">
        <v>677</v>
      </c>
      <c r="CB49" t="s">
        <v>678</v>
      </c>
      <c r="CC49" t="s">
        <v>679</v>
      </c>
      <c r="CD49" t="s">
        <v>171</v>
      </c>
      <c r="CE49" t="s">
        <v>338</v>
      </c>
      <c r="CF49" s="2">
        <v>45383</v>
      </c>
      <c r="CI49" t="str">
        <f t="shared" si="2"/>
        <v>0</v>
      </c>
      <c r="CL49" t="s">
        <v>131</v>
      </c>
      <c r="CN49" t="s">
        <v>132</v>
      </c>
      <c r="CO49" t="s">
        <v>118</v>
      </c>
    </row>
    <row r="50" spans="1:93" x14ac:dyDescent="0.3">
      <c r="A50">
        <v>2259464</v>
      </c>
      <c r="B50">
        <v>73464</v>
      </c>
      <c r="C50" t="str">
        <f>"701216350042"</f>
        <v>701216350042</v>
      </c>
      <c r="D50" t="s">
        <v>680</v>
      </c>
      <c r="E50" t="s">
        <v>628</v>
      </c>
      <c r="F50" t="s">
        <v>681</v>
      </c>
      <c r="G50" s="1">
        <v>25918</v>
      </c>
      <c r="I50" t="s">
        <v>548</v>
      </c>
      <c r="J50" t="s">
        <v>107</v>
      </c>
      <c r="K50" t="s">
        <v>108</v>
      </c>
      <c r="P50" t="s">
        <v>549</v>
      </c>
      <c r="Q50" t="s">
        <v>136</v>
      </c>
      <c r="W50" t="str">
        <f>"2021-08-26T00:00:00"</f>
        <v>2021-08-26T00:00:00</v>
      </c>
      <c r="X50" t="str">
        <f>"136"</f>
        <v>136</v>
      </c>
      <c r="Z50" t="s">
        <v>137</v>
      </c>
      <c r="AA50" t="s">
        <v>111</v>
      </c>
      <c r="AE50" t="s">
        <v>138</v>
      </c>
      <c r="AF50" t="s">
        <v>113</v>
      </c>
      <c r="AG50">
        <v>1</v>
      </c>
      <c r="AH50" t="s">
        <v>114</v>
      </c>
      <c r="AI50" t="s">
        <v>115</v>
      </c>
      <c r="AJ50" t="s">
        <v>116</v>
      </c>
      <c r="AN50" t="s">
        <v>117</v>
      </c>
      <c r="AO50" t="s">
        <v>118</v>
      </c>
      <c r="AP50" t="str">
        <f>"25"</f>
        <v>25</v>
      </c>
      <c r="AQ50" t="str">
        <f>"27"</f>
        <v>27</v>
      </c>
      <c r="AR50" t="str">
        <f>"27"</f>
        <v>27</v>
      </c>
      <c r="AS50" t="str">
        <f>"27"</f>
        <v>27</v>
      </c>
      <c r="AT50" t="str">
        <f>"2"</f>
        <v>2</v>
      </c>
      <c r="AU50" t="str">
        <f>"battalov-k70@mail.ru"</f>
        <v>battalov-k70@mail.ru</v>
      </c>
      <c r="AV50" t="str">
        <f>"87056367764"</f>
        <v>87056367764</v>
      </c>
      <c r="AW50" t="s">
        <v>159</v>
      </c>
      <c r="AX50" t="s">
        <v>140</v>
      </c>
      <c r="AZ50" t="s">
        <v>120</v>
      </c>
      <c r="BD50" t="s">
        <v>355</v>
      </c>
      <c r="BE50" t="s">
        <v>122</v>
      </c>
      <c r="BF50">
        <v>1</v>
      </c>
      <c r="BG50" t="str">
        <f>"[16]"</f>
        <v>[16]</v>
      </c>
      <c r="BH50" t="s">
        <v>113</v>
      </c>
      <c r="BI50">
        <v>0.5</v>
      </c>
      <c r="BJ50" t="s">
        <v>630</v>
      </c>
      <c r="BK50" t="s">
        <v>209</v>
      </c>
      <c r="BL50" t="s">
        <v>343</v>
      </c>
      <c r="BM50">
        <v>0.5</v>
      </c>
      <c r="BN50" t="s">
        <v>161</v>
      </c>
      <c r="BR50" t="s">
        <v>131</v>
      </c>
      <c r="BU50" t="s">
        <v>682</v>
      </c>
      <c r="BV50" t="s">
        <v>683</v>
      </c>
      <c r="BW50" t="s">
        <v>684</v>
      </c>
      <c r="BX50" t="s">
        <v>685</v>
      </c>
      <c r="BY50" t="s">
        <v>686</v>
      </c>
      <c r="BZ50" t="s">
        <v>687</v>
      </c>
      <c r="CA50" t="s">
        <v>688</v>
      </c>
      <c r="CB50" t="s">
        <v>689</v>
      </c>
      <c r="CC50" t="s">
        <v>690</v>
      </c>
      <c r="CD50" t="s">
        <v>355</v>
      </c>
      <c r="CE50" t="s">
        <v>691</v>
      </c>
      <c r="CF50" t="s">
        <v>153</v>
      </c>
      <c r="CI50" t="str">
        <f t="shared" si="2"/>
        <v>0</v>
      </c>
      <c r="CJ50" t="s">
        <v>136</v>
      </c>
      <c r="CL50" t="s">
        <v>136</v>
      </c>
      <c r="CN50" t="s">
        <v>132</v>
      </c>
      <c r="CO50" t="s">
        <v>118</v>
      </c>
    </row>
    <row r="51" spans="1:93" x14ac:dyDescent="0.3">
      <c r="A51">
        <v>2259541</v>
      </c>
      <c r="B51">
        <v>1549043</v>
      </c>
      <c r="C51" t="str">
        <f>"920204450320"</f>
        <v>920204450320</v>
      </c>
      <c r="D51" t="s">
        <v>692</v>
      </c>
      <c r="E51" t="s">
        <v>693</v>
      </c>
      <c r="F51" t="s">
        <v>272</v>
      </c>
      <c r="G51" s="1">
        <v>33638</v>
      </c>
      <c r="I51" t="s">
        <v>106</v>
      </c>
      <c r="J51" t="s">
        <v>107</v>
      </c>
      <c r="K51" t="s">
        <v>205</v>
      </c>
      <c r="P51" t="s">
        <v>109</v>
      </c>
      <c r="Q51" t="s">
        <v>136</v>
      </c>
      <c r="W51" t="str">
        <f>"2021-08-26T00:00:00"</f>
        <v>2021-08-26T00:00:00</v>
      </c>
      <c r="X51" t="str">
        <f>"137"</f>
        <v>137</v>
      </c>
      <c r="Z51" t="s">
        <v>206</v>
      </c>
      <c r="AA51" t="s">
        <v>111</v>
      </c>
      <c r="AE51" t="s">
        <v>138</v>
      </c>
      <c r="AF51" t="s">
        <v>654</v>
      </c>
      <c r="AG51">
        <v>1.1000000000000001</v>
      </c>
      <c r="AH51" t="s">
        <v>114</v>
      </c>
      <c r="AI51" t="s">
        <v>115</v>
      </c>
      <c r="AJ51" t="s">
        <v>208</v>
      </c>
      <c r="AN51" t="s">
        <v>117</v>
      </c>
      <c r="AO51" t="s">
        <v>118</v>
      </c>
      <c r="AP51" t="str">
        <f>"4"</f>
        <v>4</v>
      </c>
      <c r="AQ51" t="str">
        <f>"6"</f>
        <v>6</v>
      </c>
      <c r="AR51" t="str">
        <f>"2"</f>
        <v>2</v>
      </c>
      <c r="AS51" t="str">
        <f>"2"</f>
        <v>2</v>
      </c>
      <c r="AT51" t="str">
        <f>"2"</f>
        <v>2</v>
      </c>
      <c r="AU51" t="str">
        <f>"mari_04@list.ru"</f>
        <v>mari_04@list.ru</v>
      </c>
      <c r="AV51" t="str">
        <f>"87012417065"</f>
        <v>87012417065</v>
      </c>
      <c r="AW51" t="s">
        <v>119</v>
      </c>
      <c r="AZ51" t="s">
        <v>211</v>
      </c>
      <c r="BH51" t="s">
        <v>207</v>
      </c>
      <c r="BI51">
        <v>0.5</v>
      </c>
      <c r="BJ51" t="s">
        <v>119</v>
      </c>
      <c r="BL51" t="s">
        <v>212</v>
      </c>
      <c r="BM51">
        <v>0.5</v>
      </c>
      <c r="BN51" t="s">
        <v>161</v>
      </c>
      <c r="BR51" t="s">
        <v>131</v>
      </c>
      <c r="BU51" t="s">
        <v>588</v>
      </c>
      <c r="CD51" t="s">
        <v>171</v>
      </c>
      <c r="CE51" t="s">
        <v>694</v>
      </c>
      <c r="CF51" s="2">
        <v>45383</v>
      </c>
      <c r="CI51" t="str">
        <f t="shared" si="2"/>
        <v>0</v>
      </c>
      <c r="CL51" t="s">
        <v>131</v>
      </c>
      <c r="CN51" t="s">
        <v>132</v>
      </c>
      <c r="CO51" t="s">
        <v>118</v>
      </c>
    </row>
    <row r="52" spans="1:93" hidden="1" x14ac:dyDescent="0.3">
      <c r="A52">
        <v>2406140</v>
      </c>
      <c r="B52">
        <v>1615521</v>
      </c>
      <c r="C52" t="str">
        <f>"870930050152"</f>
        <v>870930050152</v>
      </c>
      <c r="D52" t="s">
        <v>695</v>
      </c>
      <c r="E52" t="s">
        <v>696</v>
      </c>
      <c r="F52" t="s">
        <v>697</v>
      </c>
      <c r="G52" s="1">
        <v>32050</v>
      </c>
      <c r="I52" t="s">
        <v>106</v>
      </c>
      <c r="J52" t="s">
        <v>698</v>
      </c>
      <c r="K52" t="s">
        <v>699</v>
      </c>
      <c r="P52" t="s">
        <v>109</v>
      </c>
      <c r="Q52" t="s">
        <v>136</v>
      </c>
      <c r="W52" t="str">
        <f>"2022-02-07T00:00:00"</f>
        <v>2022-02-07T00:00:00</v>
      </c>
      <c r="X52" t="str">
        <f>"8"</f>
        <v>8</v>
      </c>
      <c r="Z52" t="s">
        <v>540</v>
      </c>
      <c r="AA52" t="s">
        <v>111</v>
      </c>
      <c r="AE52" t="s">
        <v>138</v>
      </c>
      <c r="AF52" t="s">
        <v>484</v>
      </c>
      <c r="AG52">
        <v>1.5</v>
      </c>
      <c r="AH52" t="s">
        <v>114</v>
      </c>
      <c r="AI52" t="s">
        <v>115</v>
      </c>
      <c r="AJ52" t="s">
        <v>490</v>
      </c>
      <c r="AN52" t="s">
        <v>486</v>
      </c>
      <c r="AP52" t="str">
        <f>"6"</f>
        <v>6</v>
      </c>
      <c r="AQ52" t="str">
        <f>"8"</f>
        <v>8</v>
      </c>
      <c r="AS52" t="str">
        <f>"0"</f>
        <v>0</v>
      </c>
      <c r="AT52" t="str">
        <f>"2"</f>
        <v>2</v>
      </c>
      <c r="BH52" t="s">
        <v>118</v>
      </c>
      <c r="BI52">
        <v>0</v>
      </c>
    </row>
    <row r="53" spans="1:93" x14ac:dyDescent="0.3">
      <c r="A53">
        <v>2409871</v>
      </c>
      <c r="B53">
        <v>1617334</v>
      </c>
      <c r="C53" t="str">
        <f>"940213401404"</f>
        <v>940213401404</v>
      </c>
      <c r="D53" t="s">
        <v>700</v>
      </c>
      <c r="E53" t="s">
        <v>701</v>
      </c>
      <c r="F53" t="s">
        <v>702</v>
      </c>
      <c r="G53" s="1">
        <v>34378</v>
      </c>
      <c r="I53" t="s">
        <v>106</v>
      </c>
      <c r="J53" t="s">
        <v>107</v>
      </c>
      <c r="K53" t="s">
        <v>108</v>
      </c>
      <c r="P53" t="s">
        <v>109</v>
      </c>
      <c r="Q53" t="s">
        <v>136</v>
      </c>
      <c r="W53" t="str">
        <f>"2022-08-31T00:00:00"</f>
        <v>2022-08-31T00:00:00</v>
      </c>
      <c r="X53" t="str">
        <f>"134"</f>
        <v>134</v>
      </c>
      <c r="Z53" t="s">
        <v>540</v>
      </c>
      <c r="AA53" t="s">
        <v>111</v>
      </c>
      <c r="AE53" t="s">
        <v>138</v>
      </c>
      <c r="AF53" t="s">
        <v>113</v>
      </c>
      <c r="AG53">
        <v>1.5</v>
      </c>
      <c r="AH53" t="s">
        <v>114</v>
      </c>
      <c r="AI53" t="s">
        <v>115</v>
      </c>
      <c r="AJ53" t="s">
        <v>208</v>
      </c>
      <c r="AK53" t="s">
        <v>136</v>
      </c>
      <c r="AN53" t="s">
        <v>117</v>
      </c>
      <c r="AO53" t="s">
        <v>118</v>
      </c>
      <c r="AP53" t="str">
        <f>"1"</f>
        <v>1</v>
      </c>
      <c r="AQ53" t="str">
        <f>"2"</f>
        <v>2</v>
      </c>
      <c r="AR53" t="str">
        <f t="shared" ref="AR53:AT55" si="3">"1"</f>
        <v>1</v>
      </c>
      <c r="AS53" t="str">
        <f t="shared" si="3"/>
        <v>1</v>
      </c>
      <c r="AT53" t="str">
        <f t="shared" si="3"/>
        <v>1</v>
      </c>
      <c r="AU53" t="str">
        <f>"Nurbaeva1302@list.ru"</f>
        <v>Nurbaeva1302@list.ru</v>
      </c>
      <c r="AV53" t="str">
        <f>"87057837005"</f>
        <v>87057837005</v>
      </c>
      <c r="AW53" t="s">
        <v>119</v>
      </c>
      <c r="AZ53" t="s">
        <v>189</v>
      </c>
      <c r="BD53" t="s">
        <v>434</v>
      </c>
      <c r="BE53" t="s">
        <v>213</v>
      </c>
      <c r="BF53">
        <v>1.5</v>
      </c>
      <c r="BG53" t="str">
        <f>"[24]"</f>
        <v>[24]</v>
      </c>
      <c r="BH53" t="s">
        <v>118</v>
      </c>
      <c r="BI53">
        <v>0</v>
      </c>
      <c r="BN53" t="s">
        <v>161</v>
      </c>
      <c r="BR53" t="s">
        <v>131</v>
      </c>
      <c r="BU53" t="s">
        <v>588</v>
      </c>
      <c r="CD53" t="s">
        <v>171</v>
      </c>
      <c r="CE53" t="s">
        <v>703</v>
      </c>
      <c r="CF53" t="s">
        <v>153</v>
      </c>
      <c r="CI53" t="str">
        <f t="shared" ref="CI53:CI59" si="4">"0"</f>
        <v>0</v>
      </c>
      <c r="CL53" t="s">
        <v>131</v>
      </c>
      <c r="CN53" t="s">
        <v>132</v>
      </c>
      <c r="CO53" t="s">
        <v>185</v>
      </c>
    </row>
    <row r="54" spans="1:93" x14ac:dyDescent="0.3">
      <c r="A54">
        <v>2549896</v>
      </c>
      <c r="B54">
        <v>1671660</v>
      </c>
      <c r="C54" t="str">
        <f>"030101651503"</f>
        <v>030101651503</v>
      </c>
      <c r="D54" t="s">
        <v>704</v>
      </c>
      <c r="E54" t="s">
        <v>705</v>
      </c>
      <c r="F54" t="s">
        <v>706</v>
      </c>
      <c r="G54" s="1">
        <v>37622</v>
      </c>
      <c r="I54" t="s">
        <v>106</v>
      </c>
      <c r="J54" t="s">
        <v>107</v>
      </c>
      <c r="K54" t="s">
        <v>108</v>
      </c>
      <c r="P54" t="s">
        <v>109</v>
      </c>
      <c r="Q54" t="s">
        <v>136</v>
      </c>
      <c r="W54" t="str">
        <f>"2022-08-16T00:00:00"</f>
        <v>2022-08-16T00:00:00</v>
      </c>
      <c r="X54" t="str">
        <f>"114"</f>
        <v>114</v>
      </c>
      <c r="Z54" t="s">
        <v>206</v>
      </c>
      <c r="AA54" t="s">
        <v>111</v>
      </c>
      <c r="AE54" t="s">
        <v>138</v>
      </c>
      <c r="AF54" t="s">
        <v>113</v>
      </c>
      <c r="AG54">
        <v>1.4</v>
      </c>
      <c r="AH54" t="s">
        <v>114</v>
      </c>
      <c r="AI54" t="s">
        <v>115</v>
      </c>
      <c r="AJ54" t="s">
        <v>208</v>
      </c>
      <c r="AN54" t="s">
        <v>117</v>
      </c>
      <c r="AO54" t="s">
        <v>118</v>
      </c>
      <c r="AP54" t="str">
        <f>"0"</f>
        <v>0</v>
      </c>
      <c r="AQ54" t="str">
        <f>"1"</f>
        <v>1</v>
      </c>
      <c r="AR54" t="str">
        <f t="shared" si="3"/>
        <v>1</v>
      </c>
      <c r="AS54" t="str">
        <f t="shared" si="3"/>
        <v>1</v>
      </c>
      <c r="AT54" t="str">
        <f t="shared" si="3"/>
        <v>1</v>
      </c>
      <c r="AU54" t="str">
        <f>"bessembaeva2003@gmail.com"</f>
        <v>bessembaeva2003@gmail.com</v>
      </c>
      <c r="AV54" t="str">
        <f>"87779027515"</f>
        <v>87779027515</v>
      </c>
      <c r="AW54" t="s">
        <v>119</v>
      </c>
      <c r="AZ54" t="s">
        <v>211</v>
      </c>
      <c r="BD54" t="s">
        <v>190</v>
      </c>
      <c r="BE54" t="s">
        <v>213</v>
      </c>
      <c r="BF54">
        <v>1.4</v>
      </c>
      <c r="BG54" t="str">
        <f>"[23]"</f>
        <v>[23]</v>
      </c>
      <c r="BH54" t="s">
        <v>118</v>
      </c>
      <c r="BI54">
        <v>0</v>
      </c>
      <c r="BN54" t="s">
        <v>161</v>
      </c>
      <c r="BR54" t="s">
        <v>131</v>
      </c>
      <c r="BU54" t="s">
        <v>707</v>
      </c>
      <c r="BV54" t="s">
        <v>190</v>
      </c>
      <c r="BW54" t="s">
        <v>708</v>
      </c>
      <c r="BX54" t="s">
        <v>125</v>
      </c>
      <c r="BY54" t="s">
        <v>570</v>
      </c>
      <c r="BZ54">
        <v>72</v>
      </c>
      <c r="CA54" t="s">
        <v>709</v>
      </c>
      <c r="CB54" t="s">
        <v>710</v>
      </c>
      <c r="CC54">
        <v>94538</v>
      </c>
      <c r="CD54" t="s">
        <v>171</v>
      </c>
      <c r="CE54" t="s">
        <v>711</v>
      </c>
      <c r="CF54" t="s">
        <v>153</v>
      </c>
      <c r="CI54" t="str">
        <f t="shared" si="4"/>
        <v>0</v>
      </c>
      <c r="CL54" t="s">
        <v>131</v>
      </c>
      <c r="CN54" t="s">
        <v>201</v>
      </c>
      <c r="CO54" t="s">
        <v>118</v>
      </c>
    </row>
    <row r="55" spans="1:93" x14ac:dyDescent="0.3">
      <c r="A55">
        <v>2549917</v>
      </c>
      <c r="B55">
        <v>1671666</v>
      </c>
      <c r="C55" t="str">
        <f>"000621651585"</f>
        <v>000621651585</v>
      </c>
      <c r="D55" t="s">
        <v>712</v>
      </c>
      <c r="E55" t="s">
        <v>713</v>
      </c>
      <c r="F55" t="s">
        <v>714</v>
      </c>
      <c r="G55" s="1">
        <v>36698</v>
      </c>
      <c r="I55" t="s">
        <v>106</v>
      </c>
      <c r="J55" t="s">
        <v>107</v>
      </c>
      <c r="K55" t="s">
        <v>108</v>
      </c>
      <c r="P55" t="s">
        <v>109</v>
      </c>
      <c r="Q55" t="s">
        <v>136</v>
      </c>
      <c r="W55" t="str">
        <f>"2022-08-26T00:00:00"</f>
        <v>2022-08-26T00:00:00</v>
      </c>
      <c r="X55" t="str">
        <f>"130"</f>
        <v>130</v>
      </c>
      <c r="Z55" t="s">
        <v>175</v>
      </c>
      <c r="AA55" t="s">
        <v>111</v>
      </c>
      <c r="AE55" t="s">
        <v>138</v>
      </c>
      <c r="AF55" t="s">
        <v>113</v>
      </c>
      <c r="AG55">
        <v>1.5</v>
      </c>
      <c r="AH55" t="s">
        <v>114</v>
      </c>
      <c r="AI55" t="s">
        <v>115</v>
      </c>
      <c r="AJ55" t="s">
        <v>116</v>
      </c>
      <c r="AN55" t="s">
        <v>117</v>
      </c>
      <c r="AO55" t="s">
        <v>118</v>
      </c>
      <c r="AP55" t="str">
        <f>"0"</f>
        <v>0</v>
      </c>
      <c r="AQ55" t="str">
        <f>"1"</f>
        <v>1</v>
      </c>
      <c r="AR55" t="str">
        <f t="shared" si="3"/>
        <v>1</v>
      </c>
      <c r="AS55" t="str">
        <f t="shared" si="3"/>
        <v>1</v>
      </c>
      <c r="AT55" t="str">
        <f t="shared" si="3"/>
        <v>1</v>
      </c>
      <c r="AU55" t="str">
        <f>"dianaramazanovaaaa@mail.ru"</f>
        <v>dianaramazanovaaaa@mail.ru</v>
      </c>
      <c r="AV55" t="str">
        <f>"87750905639"</f>
        <v>87750905639</v>
      </c>
      <c r="AW55" t="s">
        <v>119</v>
      </c>
      <c r="AZ55" t="s">
        <v>211</v>
      </c>
      <c r="BD55" t="s">
        <v>553</v>
      </c>
      <c r="BE55" t="s">
        <v>122</v>
      </c>
      <c r="BF55">
        <v>1.5</v>
      </c>
      <c r="BG55" t="str">
        <f>"[23]"</f>
        <v>[23]</v>
      </c>
      <c r="BH55" t="s">
        <v>118</v>
      </c>
      <c r="BI55">
        <v>0</v>
      </c>
      <c r="BN55" t="s">
        <v>161</v>
      </c>
      <c r="BR55" t="s">
        <v>131</v>
      </c>
      <c r="BU55" t="s">
        <v>588</v>
      </c>
      <c r="CD55" t="s">
        <v>171</v>
      </c>
      <c r="CE55" t="s">
        <v>715</v>
      </c>
      <c r="CF55" t="s">
        <v>153</v>
      </c>
      <c r="CI55" t="str">
        <f t="shared" si="4"/>
        <v>0</v>
      </c>
      <c r="CL55" t="s">
        <v>131</v>
      </c>
      <c r="CN55" t="s">
        <v>132</v>
      </c>
      <c r="CO55" t="s">
        <v>118</v>
      </c>
    </row>
    <row r="56" spans="1:93" x14ac:dyDescent="0.3">
      <c r="A56">
        <v>2549982</v>
      </c>
      <c r="B56">
        <v>99917</v>
      </c>
      <c r="C56" t="str">
        <f>"970131450680"</f>
        <v>970131450680</v>
      </c>
      <c r="D56" t="s">
        <v>716</v>
      </c>
      <c r="E56" t="s">
        <v>717</v>
      </c>
      <c r="F56" t="s">
        <v>718</v>
      </c>
      <c r="G56" s="1">
        <v>35461</v>
      </c>
      <c r="I56" t="s">
        <v>106</v>
      </c>
      <c r="J56" t="s">
        <v>107</v>
      </c>
      <c r="K56" t="s">
        <v>108</v>
      </c>
      <c r="P56" t="s">
        <v>109</v>
      </c>
      <c r="Q56" t="s">
        <v>136</v>
      </c>
      <c r="W56" t="str">
        <f>"2023-04-20T00:00:00"</f>
        <v>2023-04-20T00:00:00</v>
      </c>
      <c r="X56" t="str">
        <f>"2"</f>
        <v>2</v>
      </c>
      <c r="Z56" t="s">
        <v>137</v>
      </c>
      <c r="AA56" t="s">
        <v>111</v>
      </c>
      <c r="AE56" t="s">
        <v>112</v>
      </c>
      <c r="AF56" t="s">
        <v>113</v>
      </c>
      <c r="AG56">
        <v>0</v>
      </c>
      <c r="AH56" t="s">
        <v>114</v>
      </c>
      <c r="AI56" t="s">
        <v>115</v>
      </c>
      <c r="AJ56" t="s">
        <v>116</v>
      </c>
      <c r="AN56" t="s">
        <v>117</v>
      </c>
      <c r="AO56" t="s">
        <v>118</v>
      </c>
      <c r="AP56" t="str">
        <f>"6"</f>
        <v>6</v>
      </c>
      <c r="AQ56" t="str">
        <f>"6"</f>
        <v>6</v>
      </c>
      <c r="AR56" t="str">
        <f>"6"</f>
        <v>6</v>
      </c>
      <c r="AS56" t="str">
        <f>"6"</f>
        <v>6</v>
      </c>
      <c r="AT56" t="str">
        <f>"0"</f>
        <v>0</v>
      </c>
      <c r="AU56" t="str">
        <f>"akkol4@mail.ru"</f>
        <v>akkol4@mail.ru</v>
      </c>
      <c r="AV56" t="str">
        <f>"87770353703"</f>
        <v>87770353703</v>
      </c>
      <c r="AW56" t="s">
        <v>119</v>
      </c>
      <c r="AZ56" t="s">
        <v>189</v>
      </c>
      <c r="BD56" t="s">
        <v>141</v>
      </c>
      <c r="BE56" t="s">
        <v>122</v>
      </c>
      <c r="BF56">
        <v>0</v>
      </c>
      <c r="BG56" t="str">
        <f>"[0]"</f>
        <v>[0]</v>
      </c>
      <c r="BH56" t="s">
        <v>118</v>
      </c>
      <c r="BI56">
        <v>0</v>
      </c>
      <c r="BU56" t="s">
        <v>123</v>
      </c>
      <c r="BV56" t="s">
        <v>141</v>
      </c>
      <c r="BW56" t="s">
        <v>719</v>
      </c>
      <c r="BX56" t="s">
        <v>125</v>
      </c>
      <c r="BY56" t="s">
        <v>126</v>
      </c>
      <c r="BZ56">
        <v>160</v>
      </c>
      <c r="CA56" t="s">
        <v>720</v>
      </c>
      <c r="CB56" t="s">
        <v>721</v>
      </c>
      <c r="CC56">
        <v>123</v>
      </c>
      <c r="CD56" t="s">
        <v>171</v>
      </c>
      <c r="CE56" t="s">
        <v>722</v>
      </c>
      <c r="CI56" t="str">
        <f t="shared" si="4"/>
        <v>0</v>
      </c>
      <c r="CL56" t="s">
        <v>136</v>
      </c>
      <c r="CN56" t="s">
        <v>132</v>
      </c>
      <c r="CO56" t="s">
        <v>118</v>
      </c>
    </row>
    <row r="57" spans="1:93" x14ac:dyDescent="0.3">
      <c r="A57">
        <v>2550030</v>
      </c>
      <c r="B57">
        <v>64202</v>
      </c>
      <c r="C57" t="str">
        <f>"811105451073"</f>
        <v>811105451073</v>
      </c>
      <c r="D57" t="s">
        <v>723</v>
      </c>
      <c r="E57" t="s">
        <v>724</v>
      </c>
      <c r="F57" t="s">
        <v>725</v>
      </c>
      <c r="G57" s="1">
        <v>29895</v>
      </c>
      <c r="I57" t="s">
        <v>106</v>
      </c>
      <c r="J57" t="s">
        <v>107</v>
      </c>
      <c r="K57" t="s">
        <v>108</v>
      </c>
      <c r="P57" t="s">
        <v>109</v>
      </c>
      <c r="Q57" t="s">
        <v>136</v>
      </c>
      <c r="W57" t="str">
        <f>"2022-08-31T00:00:00"</f>
        <v>2022-08-31T00:00:00</v>
      </c>
      <c r="X57" t="str">
        <f>"138"</f>
        <v>138</v>
      </c>
      <c r="Z57" t="s">
        <v>396</v>
      </c>
      <c r="AA57" t="s">
        <v>111</v>
      </c>
      <c r="AE57" t="s">
        <v>138</v>
      </c>
      <c r="AF57" t="s">
        <v>207</v>
      </c>
      <c r="AG57">
        <v>1.5</v>
      </c>
      <c r="AH57" t="s">
        <v>114</v>
      </c>
      <c r="AI57" t="s">
        <v>115</v>
      </c>
      <c r="AJ57" t="s">
        <v>116</v>
      </c>
      <c r="AN57" t="s">
        <v>117</v>
      </c>
      <c r="AO57" t="s">
        <v>118</v>
      </c>
      <c r="AP57" t="str">
        <f>"19"</f>
        <v>19</v>
      </c>
      <c r="AQ57" t="str">
        <f>"20"</f>
        <v>20</v>
      </c>
      <c r="AR57" t="str">
        <f>"20"</f>
        <v>20</v>
      </c>
      <c r="AS57" t="str">
        <f>"20"</f>
        <v>20</v>
      </c>
      <c r="AT57" t="str">
        <f>"1"</f>
        <v>1</v>
      </c>
      <c r="AU57" t="str">
        <f>"kurumbaeva81@bk.ru"</f>
        <v>kurumbaeva81@bk.ru</v>
      </c>
      <c r="AV57" t="str">
        <f>"87019645712"</f>
        <v>87019645712</v>
      </c>
      <c r="AW57" t="s">
        <v>139</v>
      </c>
      <c r="AX57" t="s">
        <v>209</v>
      </c>
      <c r="AY57" t="s">
        <v>210</v>
      </c>
      <c r="AZ57" t="s">
        <v>189</v>
      </c>
      <c r="BD57" t="s">
        <v>212</v>
      </c>
      <c r="BE57" t="s">
        <v>122</v>
      </c>
      <c r="BF57">
        <v>1.5</v>
      </c>
      <c r="BG57" t="str">
        <f>"[24]"</f>
        <v>[24]</v>
      </c>
      <c r="BH57" t="s">
        <v>118</v>
      </c>
      <c r="BI57">
        <v>0</v>
      </c>
      <c r="BN57" t="s">
        <v>161</v>
      </c>
      <c r="BR57" t="s">
        <v>131</v>
      </c>
      <c r="BU57" t="s">
        <v>726</v>
      </c>
      <c r="BV57" t="s">
        <v>727</v>
      </c>
      <c r="BW57" t="s">
        <v>728</v>
      </c>
      <c r="BX57" t="s">
        <v>729</v>
      </c>
      <c r="BY57" t="s">
        <v>476</v>
      </c>
      <c r="BZ57" t="s">
        <v>730</v>
      </c>
      <c r="CA57" t="s">
        <v>731</v>
      </c>
      <c r="CB57" t="s">
        <v>732</v>
      </c>
      <c r="CC57" t="s">
        <v>733</v>
      </c>
      <c r="CD57" t="s">
        <v>171</v>
      </c>
      <c r="CE57" t="s">
        <v>243</v>
      </c>
      <c r="CF57" s="2">
        <v>45383</v>
      </c>
      <c r="CI57" t="str">
        <f t="shared" si="4"/>
        <v>0</v>
      </c>
      <c r="CL57" t="s">
        <v>131</v>
      </c>
      <c r="CN57" t="s">
        <v>132</v>
      </c>
      <c r="CO57" t="s">
        <v>118</v>
      </c>
    </row>
    <row r="58" spans="1:93" x14ac:dyDescent="0.3">
      <c r="A58">
        <v>2550039</v>
      </c>
      <c r="B58">
        <v>1552240</v>
      </c>
      <c r="C58" t="str">
        <f>"000302650919"</f>
        <v>000302650919</v>
      </c>
      <c r="D58" t="s">
        <v>734</v>
      </c>
      <c r="E58" t="s">
        <v>735</v>
      </c>
      <c r="F58" t="s">
        <v>736</v>
      </c>
      <c r="G58" s="1">
        <v>36587</v>
      </c>
      <c r="I58" t="s">
        <v>106</v>
      </c>
      <c r="J58" t="s">
        <v>107</v>
      </c>
      <c r="K58" t="s">
        <v>108</v>
      </c>
      <c r="P58" t="s">
        <v>109</v>
      </c>
      <c r="Q58" t="s">
        <v>136</v>
      </c>
      <c r="W58" t="str">
        <f>"2023-09-01T00:00:00"</f>
        <v>2023-09-01T00:00:00</v>
      </c>
      <c r="X58" t="str">
        <f>"1"</f>
        <v>1</v>
      </c>
      <c r="Z58" t="s">
        <v>396</v>
      </c>
      <c r="AA58" t="s">
        <v>111</v>
      </c>
      <c r="AE58" t="s">
        <v>112</v>
      </c>
      <c r="AF58" t="s">
        <v>113</v>
      </c>
      <c r="AG58">
        <v>0</v>
      </c>
      <c r="AH58" t="s">
        <v>114</v>
      </c>
      <c r="AI58" t="s">
        <v>115</v>
      </c>
      <c r="AJ58" t="s">
        <v>116</v>
      </c>
      <c r="AN58" t="s">
        <v>117</v>
      </c>
      <c r="AO58" t="s">
        <v>118</v>
      </c>
      <c r="AP58" t="str">
        <f>"1"</f>
        <v>1</v>
      </c>
      <c r="AQ58" t="str">
        <f>"1"</f>
        <v>1</v>
      </c>
      <c r="AR58" t="str">
        <f>"1"</f>
        <v>1</v>
      </c>
      <c r="AS58" t="str">
        <f>"1"</f>
        <v>1</v>
      </c>
      <c r="AT58" t="str">
        <f>"0"</f>
        <v>0</v>
      </c>
      <c r="AU58" t="str">
        <f>"bakyt_ayaulym@bk.ru"</f>
        <v>bakyt_ayaulym@bk.ru</v>
      </c>
      <c r="AV58" t="str">
        <f>"87761598846"</f>
        <v>87761598846</v>
      </c>
      <c r="AW58" t="s">
        <v>119</v>
      </c>
      <c r="AZ58" t="s">
        <v>177</v>
      </c>
      <c r="BD58" t="s">
        <v>288</v>
      </c>
      <c r="BE58" t="s">
        <v>122</v>
      </c>
      <c r="BF58">
        <v>0</v>
      </c>
      <c r="BG58" t="str">
        <f>"[0]"</f>
        <v>[0]</v>
      </c>
      <c r="BH58" t="s">
        <v>118</v>
      </c>
      <c r="BI58">
        <v>0</v>
      </c>
      <c r="BU58" t="s">
        <v>588</v>
      </c>
      <c r="CD58" t="s">
        <v>171</v>
      </c>
      <c r="CE58" t="s">
        <v>737</v>
      </c>
      <c r="CI58" t="str">
        <f t="shared" si="4"/>
        <v>0</v>
      </c>
      <c r="CL58" t="s">
        <v>136</v>
      </c>
      <c r="CN58" t="s">
        <v>132</v>
      </c>
      <c r="CO58" t="s">
        <v>118</v>
      </c>
    </row>
    <row r="59" spans="1:93" x14ac:dyDescent="0.3">
      <c r="A59">
        <v>2553357</v>
      </c>
      <c r="B59">
        <v>56706</v>
      </c>
      <c r="C59" t="str">
        <f>"840430450263"</f>
        <v>840430450263</v>
      </c>
      <c r="D59" t="s">
        <v>738</v>
      </c>
      <c r="E59" t="s">
        <v>739</v>
      </c>
      <c r="F59" t="s">
        <v>740</v>
      </c>
      <c r="G59" s="1">
        <v>30802</v>
      </c>
      <c r="I59" t="s">
        <v>106</v>
      </c>
      <c r="J59" t="s">
        <v>107</v>
      </c>
      <c r="K59" t="s">
        <v>108</v>
      </c>
      <c r="P59" t="s">
        <v>109</v>
      </c>
      <c r="Q59" t="s">
        <v>136</v>
      </c>
      <c r="W59" t="str">
        <f>"2021-10-12T00:00:00"</f>
        <v>2021-10-12T00:00:00</v>
      </c>
      <c r="X59" t="str">
        <f>"172"</f>
        <v>172</v>
      </c>
      <c r="Z59" t="s">
        <v>396</v>
      </c>
      <c r="AA59" t="s">
        <v>111</v>
      </c>
      <c r="AE59" t="s">
        <v>138</v>
      </c>
      <c r="AF59" t="s">
        <v>113</v>
      </c>
      <c r="AG59">
        <v>1.5</v>
      </c>
      <c r="AH59" t="s">
        <v>114</v>
      </c>
      <c r="AI59" t="s">
        <v>115</v>
      </c>
      <c r="AJ59" t="s">
        <v>116</v>
      </c>
      <c r="AN59" t="s">
        <v>117</v>
      </c>
      <c r="AO59" t="s">
        <v>118</v>
      </c>
      <c r="AP59" t="str">
        <f>"16"</f>
        <v>16</v>
      </c>
      <c r="AQ59" t="str">
        <f>"18"</f>
        <v>18</v>
      </c>
      <c r="AR59" t="str">
        <f>"17"</f>
        <v>17</v>
      </c>
      <c r="AS59" t="str">
        <f>"17"</f>
        <v>17</v>
      </c>
      <c r="AT59" t="str">
        <f>"2"</f>
        <v>2</v>
      </c>
      <c r="AU59" t="str">
        <f>"izobilnoie63@mail.ru"</f>
        <v>izobilnoie63@mail.ru</v>
      </c>
      <c r="AV59" t="str">
        <f>"87773130790"</f>
        <v>87773130790</v>
      </c>
      <c r="AW59" t="s">
        <v>741</v>
      </c>
      <c r="AX59" t="s">
        <v>742</v>
      </c>
      <c r="AZ59" t="s">
        <v>189</v>
      </c>
      <c r="BD59" t="s">
        <v>355</v>
      </c>
      <c r="BE59" t="s">
        <v>122</v>
      </c>
      <c r="BF59">
        <v>1.5</v>
      </c>
      <c r="BG59" t="str">
        <f>"[24]"</f>
        <v>[24]</v>
      </c>
      <c r="BH59" t="s">
        <v>118</v>
      </c>
      <c r="BI59">
        <v>0</v>
      </c>
      <c r="BN59" t="s">
        <v>161</v>
      </c>
      <c r="BR59" t="s">
        <v>131</v>
      </c>
      <c r="BU59" t="s">
        <v>178</v>
      </c>
      <c r="BV59" t="s">
        <v>743</v>
      </c>
      <c r="BW59" t="s">
        <v>744</v>
      </c>
      <c r="BX59" t="s">
        <v>146</v>
      </c>
      <c r="BY59" t="s">
        <v>147</v>
      </c>
      <c r="BZ59" t="s">
        <v>181</v>
      </c>
      <c r="CA59" t="s">
        <v>745</v>
      </c>
      <c r="CB59" t="s">
        <v>746</v>
      </c>
      <c r="CC59" t="s">
        <v>747</v>
      </c>
      <c r="CD59" t="s">
        <v>171</v>
      </c>
      <c r="CE59" t="s">
        <v>748</v>
      </c>
      <c r="CF59" t="s">
        <v>153</v>
      </c>
      <c r="CI59" t="str">
        <f t="shared" si="4"/>
        <v>0</v>
      </c>
      <c r="CL59" t="s">
        <v>136</v>
      </c>
      <c r="CN59" t="s">
        <v>132</v>
      </c>
      <c r="CO59" t="s">
        <v>118</v>
      </c>
    </row>
    <row r="60" spans="1:93" x14ac:dyDescent="0.3">
      <c r="A60">
        <v>2577189</v>
      </c>
      <c r="B60">
        <v>76457</v>
      </c>
      <c r="C60" t="str">
        <f>"960516450730"</f>
        <v>960516450730</v>
      </c>
      <c r="D60" t="s">
        <v>749</v>
      </c>
      <c r="E60" t="s">
        <v>750</v>
      </c>
      <c r="F60" t="s">
        <v>751</v>
      </c>
      <c r="G60" s="1">
        <v>35201</v>
      </c>
      <c r="I60" t="s">
        <v>106</v>
      </c>
      <c r="J60" t="s">
        <v>107</v>
      </c>
      <c r="K60" t="s">
        <v>108</v>
      </c>
      <c r="P60" t="s">
        <v>109</v>
      </c>
      <c r="Q60" t="s">
        <v>136</v>
      </c>
      <c r="W60" t="str">
        <f>"2022-08-31T00:00:00"</f>
        <v>2022-08-31T00:00:00</v>
      </c>
      <c r="X60" t="str">
        <f>"139"</f>
        <v>139</v>
      </c>
      <c r="Z60" t="s">
        <v>137</v>
      </c>
      <c r="AA60" t="s">
        <v>111</v>
      </c>
      <c r="AE60" t="s">
        <v>112</v>
      </c>
      <c r="AF60" t="s">
        <v>176</v>
      </c>
      <c r="AG60">
        <v>0</v>
      </c>
      <c r="AH60" t="s">
        <v>114</v>
      </c>
      <c r="AI60" t="s">
        <v>115</v>
      </c>
      <c r="AJ60" t="s">
        <v>116</v>
      </c>
      <c r="AN60" t="s">
        <v>117</v>
      </c>
      <c r="AO60" t="s">
        <v>118</v>
      </c>
      <c r="AP60" t="str">
        <f>"4"</f>
        <v>4</v>
      </c>
      <c r="AQ60" t="str">
        <f>"5"</f>
        <v>5</v>
      </c>
      <c r="AR60" t="str">
        <f>"4"</f>
        <v>4</v>
      </c>
      <c r="AS60" t="str">
        <f>"4"</f>
        <v>4</v>
      </c>
      <c r="AT60" t="str">
        <f>"1"</f>
        <v>1</v>
      </c>
      <c r="AU60" t="str">
        <f>"indiulmesova.arai.96@mail.ru"</f>
        <v>indiulmesova.arai.96@mail.ru</v>
      </c>
      <c r="AV60" t="str">
        <f>"87474580591"</f>
        <v>87474580591</v>
      </c>
      <c r="AW60" t="s">
        <v>159</v>
      </c>
      <c r="AX60" t="s">
        <v>209</v>
      </c>
      <c r="AZ60" t="s">
        <v>189</v>
      </c>
      <c r="BH60" t="s">
        <v>118</v>
      </c>
      <c r="BI60">
        <v>0</v>
      </c>
      <c r="BU60" t="s">
        <v>123</v>
      </c>
      <c r="BV60" t="s">
        <v>752</v>
      </c>
      <c r="BW60" t="s">
        <v>753</v>
      </c>
      <c r="BX60" t="s">
        <v>125</v>
      </c>
      <c r="BY60" t="s">
        <v>126</v>
      </c>
      <c r="BZ60">
        <v>24</v>
      </c>
      <c r="CA60" t="s">
        <v>754</v>
      </c>
      <c r="CB60" t="s">
        <v>755</v>
      </c>
      <c r="CC60">
        <v>180310290</v>
      </c>
      <c r="CD60" t="s">
        <v>171</v>
      </c>
      <c r="CL60" t="s">
        <v>136</v>
      </c>
      <c r="CN60" t="s">
        <v>132</v>
      </c>
      <c r="CO60" t="s">
        <v>118</v>
      </c>
    </row>
    <row r="61" spans="1:93" x14ac:dyDescent="0.3">
      <c r="A61">
        <v>2605871</v>
      </c>
      <c r="B61">
        <v>157142</v>
      </c>
      <c r="C61" t="str">
        <f>"800213402048"</f>
        <v>800213402048</v>
      </c>
      <c r="D61" t="s">
        <v>756</v>
      </c>
      <c r="E61" t="s">
        <v>757</v>
      </c>
      <c r="F61" t="s">
        <v>227</v>
      </c>
      <c r="G61" s="1">
        <v>29264</v>
      </c>
      <c r="I61" t="s">
        <v>106</v>
      </c>
      <c r="J61" t="s">
        <v>107</v>
      </c>
      <c r="K61" t="s">
        <v>108</v>
      </c>
      <c r="P61" t="s">
        <v>109</v>
      </c>
      <c r="Q61" t="s">
        <v>136</v>
      </c>
      <c r="W61" t="str">
        <f>"2022-10-10T00:00:00"</f>
        <v>2022-10-10T00:00:00</v>
      </c>
      <c r="X61" t="str">
        <f>"177"</f>
        <v>177</v>
      </c>
      <c r="Z61" t="s">
        <v>528</v>
      </c>
      <c r="AA61" t="s">
        <v>111</v>
      </c>
      <c r="AE61" t="s">
        <v>138</v>
      </c>
      <c r="AF61" t="s">
        <v>113</v>
      </c>
      <c r="AG61">
        <v>1.5</v>
      </c>
      <c r="AH61" t="s">
        <v>114</v>
      </c>
      <c r="AI61" t="s">
        <v>115</v>
      </c>
      <c r="AJ61" t="s">
        <v>116</v>
      </c>
      <c r="AN61" t="s">
        <v>117</v>
      </c>
      <c r="AO61" t="s">
        <v>118</v>
      </c>
      <c r="AP61" t="str">
        <f>"15"</f>
        <v>15</v>
      </c>
      <c r="AQ61" t="str">
        <f>"16"</f>
        <v>16</v>
      </c>
      <c r="AR61" t="str">
        <f>"11"</f>
        <v>11</v>
      </c>
      <c r="AS61" t="str">
        <f>"11"</f>
        <v>11</v>
      </c>
      <c r="AT61" t="str">
        <f>"1"</f>
        <v>1</v>
      </c>
      <c r="AU61" t="str">
        <f>"step-school@inbox.ru"</f>
        <v>step-school@inbox.ru</v>
      </c>
      <c r="AV61" t="str">
        <f>"88775414993"</f>
        <v>88775414993</v>
      </c>
      <c r="AW61" t="s">
        <v>119</v>
      </c>
      <c r="AZ61" t="s">
        <v>211</v>
      </c>
      <c r="BD61" t="s">
        <v>397</v>
      </c>
      <c r="BE61" t="s">
        <v>122</v>
      </c>
      <c r="BF61">
        <v>1.5</v>
      </c>
      <c r="BG61" t="str">
        <f>"[24]"</f>
        <v>[24]</v>
      </c>
      <c r="BH61" t="s">
        <v>118</v>
      </c>
      <c r="BI61">
        <v>0</v>
      </c>
      <c r="BN61" t="s">
        <v>275</v>
      </c>
      <c r="BR61" t="s">
        <v>131</v>
      </c>
      <c r="BU61" t="s">
        <v>758</v>
      </c>
      <c r="BV61" t="s">
        <v>759</v>
      </c>
      <c r="BW61" t="s">
        <v>760</v>
      </c>
      <c r="BX61" t="s">
        <v>761</v>
      </c>
      <c r="BY61" t="s">
        <v>762</v>
      </c>
      <c r="BZ61" t="s">
        <v>763</v>
      </c>
      <c r="CA61" t="s">
        <v>764</v>
      </c>
      <c r="CB61" t="s">
        <v>765</v>
      </c>
      <c r="CC61" t="s">
        <v>766</v>
      </c>
      <c r="CD61" t="s">
        <v>171</v>
      </c>
      <c r="CE61" t="s">
        <v>767</v>
      </c>
      <c r="CF61" t="s">
        <v>153</v>
      </c>
      <c r="CI61" t="str">
        <f>"0"</f>
        <v>0</v>
      </c>
      <c r="CJ61" t="s">
        <v>136</v>
      </c>
      <c r="CL61" t="s">
        <v>131</v>
      </c>
      <c r="CN61" t="s">
        <v>132</v>
      </c>
      <c r="CO61" t="s">
        <v>118</v>
      </c>
    </row>
    <row r="62" spans="1:93" hidden="1" x14ac:dyDescent="0.3">
      <c r="A62">
        <v>2609110</v>
      </c>
      <c r="B62">
        <v>141547</v>
      </c>
      <c r="C62" t="str">
        <f>"720908399035"</f>
        <v>720908399035</v>
      </c>
      <c r="D62" t="s">
        <v>768</v>
      </c>
      <c r="E62" t="s">
        <v>769</v>
      </c>
      <c r="F62" t="s">
        <v>770</v>
      </c>
      <c r="G62" s="1">
        <v>26550</v>
      </c>
      <c r="I62" t="s">
        <v>548</v>
      </c>
      <c r="J62" t="s">
        <v>771</v>
      </c>
      <c r="K62" t="s">
        <v>205</v>
      </c>
      <c r="P62" t="s">
        <v>109</v>
      </c>
      <c r="Q62" t="s">
        <v>136</v>
      </c>
      <c r="W62" t="str">
        <f>"2019-01-03T00:00:00"</f>
        <v>2019-01-03T00:00:00</v>
      </c>
      <c r="X62" t="str">
        <f>"2 л/с"</f>
        <v>2 л/с</v>
      </c>
      <c r="Z62" t="s">
        <v>540</v>
      </c>
      <c r="AA62" t="s">
        <v>772</v>
      </c>
      <c r="AE62" t="s">
        <v>138</v>
      </c>
      <c r="AF62" t="s">
        <v>773</v>
      </c>
      <c r="AG62">
        <v>1</v>
      </c>
      <c r="AH62" t="s">
        <v>774</v>
      </c>
      <c r="AI62" t="s">
        <v>115</v>
      </c>
      <c r="AJ62" t="s">
        <v>775</v>
      </c>
      <c r="AN62" t="s">
        <v>486</v>
      </c>
      <c r="AP62" t="str">
        <f>"12"</f>
        <v>12</v>
      </c>
      <c r="AQ62" t="str">
        <f>"17"</f>
        <v>17</v>
      </c>
      <c r="AS62" t="str">
        <f>"0"</f>
        <v>0</v>
      </c>
      <c r="AT62" t="str">
        <f>"5"</f>
        <v>5</v>
      </c>
      <c r="BH62" t="s">
        <v>118</v>
      </c>
      <c r="BI62">
        <v>0</v>
      </c>
    </row>
    <row r="63" spans="1:93" hidden="1" x14ac:dyDescent="0.3">
      <c r="A63">
        <v>2609147</v>
      </c>
      <c r="B63">
        <v>1699906</v>
      </c>
      <c r="C63" t="str">
        <f>"910224450942"</f>
        <v>910224450942</v>
      </c>
      <c r="D63" t="s">
        <v>776</v>
      </c>
      <c r="E63" t="s">
        <v>777</v>
      </c>
      <c r="F63" t="s">
        <v>778</v>
      </c>
      <c r="G63" s="1">
        <v>33293</v>
      </c>
      <c r="I63" t="s">
        <v>106</v>
      </c>
      <c r="J63" t="s">
        <v>107</v>
      </c>
      <c r="K63" t="s">
        <v>108</v>
      </c>
      <c r="P63" t="s">
        <v>109</v>
      </c>
      <c r="Q63" t="s">
        <v>136</v>
      </c>
      <c r="W63" t="str">
        <f>"2022-09-01T00:00:00"</f>
        <v>2022-09-01T00:00:00</v>
      </c>
      <c r="X63" t="str">
        <f>"144"</f>
        <v>144</v>
      </c>
      <c r="Z63" t="s">
        <v>540</v>
      </c>
      <c r="AA63" t="s">
        <v>111</v>
      </c>
      <c r="AE63" t="s">
        <v>138</v>
      </c>
      <c r="AF63" t="s">
        <v>779</v>
      </c>
      <c r="AG63">
        <v>1</v>
      </c>
      <c r="AH63" t="s">
        <v>114</v>
      </c>
      <c r="AI63" t="s">
        <v>115</v>
      </c>
      <c r="AJ63" t="s">
        <v>485</v>
      </c>
      <c r="AN63" t="s">
        <v>486</v>
      </c>
      <c r="AP63" t="str">
        <f>"10"</f>
        <v>10</v>
      </c>
      <c r="AQ63" t="str">
        <f>"11"</f>
        <v>11</v>
      </c>
      <c r="AS63" t="str">
        <f>"0"</f>
        <v>0</v>
      </c>
      <c r="AT63" t="str">
        <f>"1"</f>
        <v>1</v>
      </c>
      <c r="BH63" t="s">
        <v>780</v>
      </c>
      <c r="BI63">
        <v>0.5</v>
      </c>
    </row>
    <row r="64" spans="1:93" hidden="1" x14ac:dyDescent="0.3">
      <c r="A64">
        <v>2610167</v>
      </c>
      <c r="B64">
        <v>1700308</v>
      </c>
      <c r="C64" t="str">
        <f>"941003451302"</f>
        <v>941003451302</v>
      </c>
      <c r="D64" t="s">
        <v>781</v>
      </c>
      <c r="E64" t="s">
        <v>782</v>
      </c>
      <c r="G64" s="1">
        <v>34610</v>
      </c>
      <c r="I64" t="s">
        <v>106</v>
      </c>
      <c r="J64" t="s">
        <v>107</v>
      </c>
      <c r="K64" t="s">
        <v>108</v>
      </c>
      <c r="P64" t="s">
        <v>109</v>
      </c>
      <c r="Q64" t="s">
        <v>136</v>
      </c>
      <c r="W64" t="str">
        <f>"2022-10-21T00:00:00"</f>
        <v>2022-10-21T00:00:00</v>
      </c>
      <c r="X64" t="str">
        <f>"153/2022"</f>
        <v>153/2022</v>
      </c>
      <c r="Z64" t="s">
        <v>528</v>
      </c>
      <c r="AA64" t="s">
        <v>111</v>
      </c>
      <c r="AE64" t="s">
        <v>112</v>
      </c>
      <c r="AF64" t="s">
        <v>780</v>
      </c>
      <c r="AG64">
        <v>0</v>
      </c>
      <c r="AH64" t="s">
        <v>114</v>
      </c>
      <c r="AI64" t="s">
        <v>115</v>
      </c>
      <c r="AJ64" t="s">
        <v>116</v>
      </c>
      <c r="AN64" t="s">
        <v>117</v>
      </c>
      <c r="AO64" t="s">
        <v>118</v>
      </c>
      <c r="AP64" t="str">
        <f>"1"</f>
        <v>1</v>
      </c>
      <c r="AQ64" t="str">
        <f>"2"</f>
        <v>2</v>
      </c>
      <c r="AS64" t="str">
        <f>"0"</f>
        <v>0</v>
      </c>
      <c r="AT64" t="str">
        <f>"1"</f>
        <v>1</v>
      </c>
      <c r="AU64" t="str">
        <f>"saifullinaaa@mail.ru"</f>
        <v>saifullinaaa@mail.ru</v>
      </c>
      <c r="AV64" t="str">
        <f>"87061421024"</f>
        <v>87061421024</v>
      </c>
      <c r="AW64" t="s">
        <v>119</v>
      </c>
      <c r="AZ64" t="s">
        <v>130</v>
      </c>
      <c r="BH64" t="s">
        <v>118</v>
      </c>
      <c r="BI64">
        <v>0</v>
      </c>
      <c r="BU64" t="s">
        <v>588</v>
      </c>
      <c r="CE64" t="s">
        <v>224</v>
      </c>
      <c r="CI64" t="str">
        <f t="shared" ref="CI64:CI69" si="5">"0"</f>
        <v>0</v>
      </c>
      <c r="CN64" t="s">
        <v>783</v>
      </c>
    </row>
    <row r="65" spans="1:93" x14ac:dyDescent="0.3">
      <c r="A65">
        <v>2630146</v>
      </c>
      <c r="B65">
        <v>155861</v>
      </c>
      <c r="C65" t="str">
        <f>"570720301337"</f>
        <v>570720301337</v>
      </c>
      <c r="D65" t="s">
        <v>784</v>
      </c>
      <c r="E65" t="s">
        <v>785</v>
      </c>
      <c r="F65" t="s">
        <v>786</v>
      </c>
      <c r="G65" s="1">
        <v>21021</v>
      </c>
      <c r="I65" t="s">
        <v>548</v>
      </c>
      <c r="J65" t="s">
        <v>107</v>
      </c>
      <c r="K65" t="s">
        <v>787</v>
      </c>
      <c r="P65" t="s">
        <v>549</v>
      </c>
      <c r="Q65" t="s">
        <v>136</v>
      </c>
      <c r="W65" t="str">
        <f>"2022-11-01T00:00:00"</f>
        <v>2022-11-01T00:00:00</v>
      </c>
      <c r="X65" t="str">
        <f>"198"</f>
        <v>198</v>
      </c>
      <c r="Z65" t="s">
        <v>396</v>
      </c>
      <c r="AA65" t="s">
        <v>111</v>
      </c>
      <c r="AE65" t="s">
        <v>138</v>
      </c>
      <c r="AF65" t="s">
        <v>113</v>
      </c>
      <c r="AG65">
        <v>1.2</v>
      </c>
      <c r="AH65" t="s">
        <v>114</v>
      </c>
      <c r="AI65" t="s">
        <v>115</v>
      </c>
      <c r="AJ65" t="s">
        <v>116</v>
      </c>
      <c r="AN65" t="s">
        <v>117</v>
      </c>
      <c r="AO65" t="s">
        <v>118</v>
      </c>
      <c r="AP65" t="str">
        <f>"37"</f>
        <v>37</v>
      </c>
      <c r="AQ65" t="str">
        <f>"38"</f>
        <v>38</v>
      </c>
      <c r="AR65" t="str">
        <f>"38"</f>
        <v>38</v>
      </c>
      <c r="AS65" t="str">
        <f>"38"</f>
        <v>38</v>
      </c>
      <c r="AT65" t="str">
        <f>"1"</f>
        <v>1</v>
      </c>
      <c r="AU65" t="str">
        <f>"karibullin57@inbox.ru"</f>
        <v>karibullin57@inbox.ru</v>
      </c>
      <c r="AV65" t="str">
        <f>"87015516845"</f>
        <v>87015516845</v>
      </c>
      <c r="AW65" t="s">
        <v>741</v>
      </c>
      <c r="AX65" t="s">
        <v>631</v>
      </c>
      <c r="AZ65" t="s">
        <v>211</v>
      </c>
      <c r="BD65" t="s">
        <v>424</v>
      </c>
      <c r="BE65" t="s">
        <v>122</v>
      </c>
      <c r="BF65">
        <v>1.2</v>
      </c>
      <c r="BG65" t="str">
        <f>"[19]"</f>
        <v>[19]</v>
      </c>
      <c r="BH65" t="s">
        <v>118</v>
      </c>
      <c r="BI65">
        <v>0</v>
      </c>
      <c r="BN65" t="s">
        <v>161</v>
      </c>
      <c r="BR65" t="s">
        <v>131</v>
      </c>
      <c r="BU65" t="s">
        <v>289</v>
      </c>
      <c r="BV65" t="s">
        <v>788</v>
      </c>
      <c r="BW65" t="s">
        <v>291</v>
      </c>
      <c r="BX65" t="s">
        <v>292</v>
      </c>
      <c r="BY65" t="s">
        <v>293</v>
      </c>
      <c r="BZ65" t="s">
        <v>789</v>
      </c>
      <c r="CA65" t="s">
        <v>790</v>
      </c>
      <c r="CB65" t="s">
        <v>791</v>
      </c>
      <c r="CC65" t="s">
        <v>792</v>
      </c>
      <c r="CD65" t="s">
        <v>171</v>
      </c>
      <c r="CE65" t="s">
        <v>793</v>
      </c>
      <c r="CF65" t="s">
        <v>153</v>
      </c>
      <c r="CI65" t="str">
        <f t="shared" si="5"/>
        <v>0</v>
      </c>
      <c r="CL65" t="s">
        <v>136</v>
      </c>
      <c r="CN65" t="s">
        <v>132</v>
      </c>
      <c r="CO65" t="s">
        <v>118</v>
      </c>
    </row>
    <row r="66" spans="1:93" x14ac:dyDescent="0.3">
      <c r="A66">
        <v>2630177</v>
      </c>
      <c r="B66">
        <v>59129</v>
      </c>
      <c r="C66" t="str">
        <f>"860513351488"</f>
        <v>860513351488</v>
      </c>
      <c r="D66" t="s">
        <v>794</v>
      </c>
      <c r="E66" t="s">
        <v>795</v>
      </c>
      <c r="G66" s="1">
        <v>31545</v>
      </c>
      <c r="I66" t="s">
        <v>548</v>
      </c>
      <c r="J66" t="s">
        <v>107</v>
      </c>
      <c r="K66" t="s">
        <v>108</v>
      </c>
      <c r="P66" t="s">
        <v>109</v>
      </c>
      <c r="Q66" t="s">
        <v>136</v>
      </c>
      <c r="W66" t="str">
        <f>"2022-11-01T00:00:00"</f>
        <v>2022-11-01T00:00:00</v>
      </c>
      <c r="X66" t="str">
        <f>"199"</f>
        <v>199</v>
      </c>
      <c r="Z66" t="s">
        <v>396</v>
      </c>
      <c r="AA66" t="s">
        <v>111</v>
      </c>
      <c r="AE66" t="s">
        <v>138</v>
      </c>
      <c r="AF66" t="s">
        <v>113</v>
      </c>
      <c r="AG66">
        <v>1.5</v>
      </c>
      <c r="AH66" t="s">
        <v>114</v>
      </c>
      <c r="AI66" t="s">
        <v>115</v>
      </c>
      <c r="AJ66" t="s">
        <v>208</v>
      </c>
      <c r="AN66" t="s">
        <v>117</v>
      </c>
      <c r="AO66" t="s">
        <v>118</v>
      </c>
      <c r="AP66" t="str">
        <f>"6"</f>
        <v>6</v>
      </c>
      <c r="AQ66" t="str">
        <f>"7"</f>
        <v>7</v>
      </c>
      <c r="AR66" t="str">
        <f>"3"</f>
        <v>3</v>
      </c>
      <c r="AS66" t="str">
        <f>"3"</f>
        <v>3</v>
      </c>
      <c r="AT66" t="str">
        <f>"1"</f>
        <v>1</v>
      </c>
      <c r="AU66" t="str">
        <f>"nur.rinat@inbox.ru"</f>
        <v>nur.rinat@inbox.ru</v>
      </c>
      <c r="AV66" t="str">
        <f>"87052935633"</f>
        <v>87052935633</v>
      </c>
      <c r="AW66" t="s">
        <v>119</v>
      </c>
      <c r="AZ66" t="s">
        <v>120</v>
      </c>
      <c r="BD66" t="s">
        <v>141</v>
      </c>
      <c r="BE66" t="s">
        <v>213</v>
      </c>
      <c r="BF66">
        <v>1.5</v>
      </c>
      <c r="BG66" t="str">
        <f>"[24]"</f>
        <v>[24]</v>
      </c>
      <c r="BH66" t="s">
        <v>118</v>
      </c>
      <c r="BI66">
        <v>0</v>
      </c>
      <c r="BN66" t="s">
        <v>275</v>
      </c>
      <c r="BR66" t="s">
        <v>131</v>
      </c>
      <c r="BU66" t="s">
        <v>300</v>
      </c>
      <c r="BV66" t="s">
        <v>796</v>
      </c>
      <c r="BW66" t="s">
        <v>797</v>
      </c>
      <c r="BX66" t="s">
        <v>292</v>
      </c>
      <c r="BY66" t="s">
        <v>798</v>
      </c>
      <c r="BZ66" t="s">
        <v>799</v>
      </c>
      <c r="CA66" t="s">
        <v>800</v>
      </c>
      <c r="CB66" t="s">
        <v>801</v>
      </c>
      <c r="CC66" t="s">
        <v>802</v>
      </c>
      <c r="CD66" t="s">
        <v>171</v>
      </c>
      <c r="CE66" t="s">
        <v>803</v>
      </c>
      <c r="CF66" t="s">
        <v>153</v>
      </c>
      <c r="CI66" t="str">
        <f t="shared" si="5"/>
        <v>0</v>
      </c>
      <c r="CJ66" t="s">
        <v>136</v>
      </c>
      <c r="CL66" t="s">
        <v>131</v>
      </c>
      <c r="CN66" t="s">
        <v>132</v>
      </c>
      <c r="CO66" t="s">
        <v>185</v>
      </c>
    </row>
    <row r="67" spans="1:93" x14ac:dyDescent="0.3">
      <c r="A67">
        <v>2678646</v>
      </c>
      <c r="B67">
        <v>155785</v>
      </c>
      <c r="C67" t="str">
        <f>"960211450227"</f>
        <v>960211450227</v>
      </c>
      <c r="D67" t="s">
        <v>804</v>
      </c>
      <c r="E67" t="s">
        <v>805</v>
      </c>
      <c r="F67" t="s">
        <v>806</v>
      </c>
      <c r="G67" s="1">
        <v>35106</v>
      </c>
      <c r="I67" t="s">
        <v>106</v>
      </c>
      <c r="J67" t="s">
        <v>107</v>
      </c>
      <c r="K67" t="s">
        <v>205</v>
      </c>
      <c r="P67" t="s">
        <v>109</v>
      </c>
      <c r="Q67" t="s">
        <v>136</v>
      </c>
      <c r="W67" t="str">
        <f>"2023-01-04T00:00:00"</f>
        <v>2023-01-04T00:00:00</v>
      </c>
      <c r="X67" t="str">
        <f>"1/2"</f>
        <v>1/2</v>
      </c>
      <c r="Z67" t="s">
        <v>528</v>
      </c>
      <c r="AA67" t="s">
        <v>111</v>
      </c>
      <c r="AE67" t="s">
        <v>138</v>
      </c>
      <c r="AF67" t="s">
        <v>113</v>
      </c>
      <c r="AG67">
        <v>1.4</v>
      </c>
      <c r="AH67" t="s">
        <v>114</v>
      </c>
      <c r="AI67" t="s">
        <v>115</v>
      </c>
      <c r="AJ67" t="s">
        <v>116</v>
      </c>
      <c r="AN67" t="s">
        <v>117</v>
      </c>
      <c r="AO67" t="s">
        <v>118</v>
      </c>
      <c r="AP67" t="str">
        <f>"3"</f>
        <v>3</v>
      </c>
      <c r="AQ67" t="str">
        <f>"4"</f>
        <v>4</v>
      </c>
      <c r="AR67" t="str">
        <f>"4"</f>
        <v>4</v>
      </c>
      <c r="AS67" t="str">
        <f>"4"</f>
        <v>4</v>
      </c>
      <c r="AT67" t="str">
        <f>"1"</f>
        <v>1</v>
      </c>
      <c r="AU67" t="str">
        <f>"579203144@mail.ru"</f>
        <v>579203144@mail.ru</v>
      </c>
      <c r="AV67" t="str">
        <f>"87075138667"</f>
        <v>87075138667</v>
      </c>
      <c r="AW67" t="s">
        <v>119</v>
      </c>
      <c r="AZ67" t="s">
        <v>211</v>
      </c>
      <c r="BD67" t="s">
        <v>190</v>
      </c>
      <c r="BE67" t="s">
        <v>122</v>
      </c>
      <c r="BF67">
        <v>1.4</v>
      </c>
      <c r="BG67" t="str">
        <f>"[22]"</f>
        <v>[22]</v>
      </c>
      <c r="BH67" t="s">
        <v>118</v>
      </c>
      <c r="BI67">
        <v>0</v>
      </c>
      <c r="BN67" t="s">
        <v>161</v>
      </c>
      <c r="BR67" t="s">
        <v>131</v>
      </c>
      <c r="BU67" t="s">
        <v>707</v>
      </c>
      <c r="BV67" t="s">
        <v>190</v>
      </c>
      <c r="BW67" t="s">
        <v>708</v>
      </c>
      <c r="BX67" t="s">
        <v>125</v>
      </c>
      <c r="BY67" t="s">
        <v>570</v>
      </c>
      <c r="BZ67">
        <v>120</v>
      </c>
      <c r="CA67" t="s">
        <v>807</v>
      </c>
      <c r="CB67" t="s">
        <v>808</v>
      </c>
      <c r="CC67" t="s">
        <v>118</v>
      </c>
      <c r="CD67" t="s">
        <v>171</v>
      </c>
      <c r="CE67" t="s">
        <v>809</v>
      </c>
      <c r="CF67" t="s">
        <v>153</v>
      </c>
      <c r="CI67" t="str">
        <f t="shared" si="5"/>
        <v>0</v>
      </c>
      <c r="CL67" t="s">
        <v>136</v>
      </c>
      <c r="CN67" t="s">
        <v>201</v>
      </c>
      <c r="CO67" t="s">
        <v>118</v>
      </c>
    </row>
    <row r="68" spans="1:93" x14ac:dyDescent="0.3">
      <c r="A68">
        <v>2779355</v>
      </c>
      <c r="B68">
        <v>154497</v>
      </c>
      <c r="C68" t="str">
        <f>"890901451072"</f>
        <v>890901451072</v>
      </c>
      <c r="D68" t="s">
        <v>810</v>
      </c>
      <c r="E68" t="s">
        <v>811</v>
      </c>
      <c r="G68" s="1">
        <v>32752</v>
      </c>
      <c r="I68" t="s">
        <v>106</v>
      </c>
      <c r="J68" t="s">
        <v>107</v>
      </c>
      <c r="K68" t="s">
        <v>108</v>
      </c>
      <c r="P68" t="s">
        <v>109</v>
      </c>
      <c r="Q68" t="s">
        <v>136</v>
      </c>
      <c r="W68" t="str">
        <f>"2023-08-21T00:00:00"</f>
        <v>2023-08-21T00:00:00</v>
      </c>
      <c r="X68" t="str">
        <f>"198"</f>
        <v>198</v>
      </c>
      <c r="Z68" t="s">
        <v>396</v>
      </c>
      <c r="AA68" t="s">
        <v>111</v>
      </c>
      <c r="AE68" t="s">
        <v>138</v>
      </c>
      <c r="AF68" t="s">
        <v>207</v>
      </c>
      <c r="AG68">
        <v>1.3</v>
      </c>
      <c r="AH68" t="s">
        <v>114</v>
      </c>
      <c r="AI68" t="s">
        <v>229</v>
      </c>
      <c r="AJ68" t="s">
        <v>230</v>
      </c>
      <c r="AN68" t="s">
        <v>117</v>
      </c>
      <c r="AO68" t="s">
        <v>118</v>
      </c>
      <c r="AP68" t="str">
        <f>"14"</f>
        <v>14</v>
      </c>
      <c r="AQ68" t="str">
        <f>"14"</f>
        <v>14</v>
      </c>
      <c r="AR68" t="str">
        <f>"12"</f>
        <v>12</v>
      </c>
      <c r="AS68" t="str">
        <f>"12"</f>
        <v>12</v>
      </c>
      <c r="AT68" t="str">
        <f>"0"</f>
        <v>0</v>
      </c>
      <c r="AU68" t="str">
        <f>"guleka_01_09@mail.ru"</f>
        <v>guleka_01_09@mail.ru</v>
      </c>
      <c r="AV68" t="str">
        <f>"87787315307"</f>
        <v>87787315307</v>
      </c>
      <c r="AW68" t="s">
        <v>139</v>
      </c>
      <c r="AX68" t="s">
        <v>423</v>
      </c>
      <c r="AZ68" t="s">
        <v>189</v>
      </c>
      <c r="BD68" t="s">
        <v>212</v>
      </c>
      <c r="BE68" t="s">
        <v>122</v>
      </c>
      <c r="BF68">
        <v>1.3</v>
      </c>
      <c r="BG68" t="str">
        <f>"[20]"</f>
        <v>[20]</v>
      </c>
      <c r="BH68" t="s">
        <v>118</v>
      </c>
      <c r="BI68">
        <v>0</v>
      </c>
      <c r="BN68" t="s">
        <v>161</v>
      </c>
      <c r="BR68" t="s">
        <v>131</v>
      </c>
      <c r="BU68" t="s">
        <v>812</v>
      </c>
      <c r="BV68" t="s">
        <v>813</v>
      </c>
      <c r="BW68" t="s">
        <v>814</v>
      </c>
      <c r="BX68" t="s">
        <v>815</v>
      </c>
      <c r="BY68" t="s">
        <v>816</v>
      </c>
      <c r="BZ68" t="s">
        <v>817</v>
      </c>
      <c r="CA68" t="s">
        <v>818</v>
      </c>
      <c r="CB68" t="s">
        <v>819</v>
      </c>
      <c r="CC68" t="s">
        <v>820</v>
      </c>
      <c r="CD68" t="s">
        <v>171</v>
      </c>
      <c r="CE68" t="s">
        <v>243</v>
      </c>
      <c r="CF68" s="2">
        <v>45383</v>
      </c>
      <c r="CI68" t="str">
        <f t="shared" si="5"/>
        <v>0</v>
      </c>
      <c r="CL68" t="s">
        <v>131</v>
      </c>
      <c r="CN68" t="s">
        <v>132</v>
      </c>
      <c r="CO68" t="s">
        <v>244</v>
      </c>
    </row>
    <row r="69" spans="1:93" x14ac:dyDescent="0.3">
      <c r="A69">
        <v>2779811</v>
      </c>
      <c r="B69">
        <v>157124</v>
      </c>
      <c r="C69" t="str">
        <f>"730216350607"</f>
        <v>730216350607</v>
      </c>
      <c r="D69" t="s">
        <v>821</v>
      </c>
      <c r="E69" t="s">
        <v>822</v>
      </c>
      <c r="G69" s="1">
        <v>26711</v>
      </c>
      <c r="I69" t="s">
        <v>548</v>
      </c>
      <c r="J69" t="s">
        <v>107</v>
      </c>
      <c r="K69" t="s">
        <v>108</v>
      </c>
      <c r="P69" t="s">
        <v>549</v>
      </c>
      <c r="Q69" t="s">
        <v>136</v>
      </c>
      <c r="W69" t="str">
        <f>"2023-02-02T00:00:00"</f>
        <v>2023-02-02T00:00:00</v>
      </c>
      <c r="X69" t="str">
        <f>"31/1"</f>
        <v>31/1</v>
      </c>
      <c r="Z69" t="s">
        <v>540</v>
      </c>
      <c r="AA69" t="s">
        <v>772</v>
      </c>
      <c r="AE69" t="s">
        <v>138</v>
      </c>
      <c r="AF69" t="s">
        <v>113</v>
      </c>
      <c r="AG69">
        <v>0.6</v>
      </c>
      <c r="AH69" t="s">
        <v>774</v>
      </c>
      <c r="AI69" t="s">
        <v>115</v>
      </c>
      <c r="AJ69" t="s">
        <v>116</v>
      </c>
      <c r="AN69" t="s">
        <v>117</v>
      </c>
      <c r="AO69" t="s">
        <v>118</v>
      </c>
      <c r="AP69" t="str">
        <f>"23"</f>
        <v>23</v>
      </c>
      <c r="AQ69" t="str">
        <f>"24"</f>
        <v>24</v>
      </c>
      <c r="AR69" t="str">
        <f>"23"</f>
        <v>23</v>
      </c>
      <c r="AS69" t="str">
        <f>"23"</f>
        <v>23</v>
      </c>
      <c r="AT69" t="str">
        <f>"1"</f>
        <v>1</v>
      </c>
      <c r="AU69" t="str">
        <f>"bokenbaj73@bk.ru"</f>
        <v>bokenbaj73@bk.ru</v>
      </c>
      <c r="AV69" t="str">
        <f>"87164563020"</f>
        <v>87164563020</v>
      </c>
      <c r="AW69" t="s">
        <v>119</v>
      </c>
      <c r="AX69" t="s">
        <v>160</v>
      </c>
      <c r="AZ69" t="s">
        <v>189</v>
      </c>
      <c r="BD69" t="s">
        <v>424</v>
      </c>
      <c r="BE69" t="s">
        <v>122</v>
      </c>
      <c r="BF69">
        <v>0.6</v>
      </c>
      <c r="BG69" t="str">
        <f>"[9]"</f>
        <v>[9]</v>
      </c>
      <c r="BH69" t="s">
        <v>823</v>
      </c>
      <c r="BI69">
        <v>1</v>
      </c>
      <c r="BN69" t="s">
        <v>824</v>
      </c>
      <c r="BR69" t="s">
        <v>136</v>
      </c>
      <c r="BU69" t="s">
        <v>425</v>
      </c>
      <c r="BV69" t="s">
        <v>825</v>
      </c>
      <c r="BW69" t="s">
        <v>826</v>
      </c>
      <c r="BX69" t="s">
        <v>827</v>
      </c>
      <c r="BY69" t="s">
        <v>311</v>
      </c>
      <c r="BZ69" t="s">
        <v>828</v>
      </c>
      <c r="CA69" t="s">
        <v>829</v>
      </c>
      <c r="CB69" t="s">
        <v>830</v>
      </c>
      <c r="CC69" t="s">
        <v>831</v>
      </c>
      <c r="CD69" t="s">
        <v>424</v>
      </c>
      <c r="CE69" t="s">
        <v>832</v>
      </c>
      <c r="CF69" t="s">
        <v>153</v>
      </c>
      <c r="CI69" t="str">
        <f t="shared" si="5"/>
        <v>0</v>
      </c>
      <c r="CL69" t="s">
        <v>136</v>
      </c>
      <c r="CN69" t="s">
        <v>132</v>
      </c>
      <c r="CO69" t="s">
        <v>118</v>
      </c>
    </row>
    <row r="70" spans="1:93" hidden="1" x14ac:dyDescent="0.3">
      <c r="A70">
        <v>2779813</v>
      </c>
      <c r="B70">
        <v>1771879</v>
      </c>
      <c r="C70" t="str">
        <f>"660514350156"</f>
        <v>660514350156</v>
      </c>
      <c r="D70" t="s">
        <v>833</v>
      </c>
      <c r="E70" t="s">
        <v>834</v>
      </c>
      <c r="F70" t="s">
        <v>835</v>
      </c>
      <c r="G70" s="1">
        <v>24241</v>
      </c>
      <c r="I70" t="s">
        <v>548</v>
      </c>
      <c r="J70" t="s">
        <v>107</v>
      </c>
      <c r="K70" t="s">
        <v>205</v>
      </c>
      <c r="P70" t="s">
        <v>109</v>
      </c>
      <c r="Q70" t="s">
        <v>136</v>
      </c>
      <c r="W70" t="str">
        <f>"2022-11-01T00:00:00"</f>
        <v>2022-11-01T00:00:00</v>
      </c>
      <c r="X70" t="str">
        <f>"199/1"</f>
        <v>199/1</v>
      </c>
      <c r="Z70" t="s">
        <v>540</v>
      </c>
      <c r="AA70" t="s">
        <v>772</v>
      </c>
      <c r="AE70" t="s">
        <v>138</v>
      </c>
      <c r="AF70" t="s">
        <v>836</v>
      </c>
      <c r="AG70">
        <v>1</v>
      </c>
      <c r="AH70" t="s">
        <v>774</v>
      </c>
      <c r="AI70" t="s">
        <v>115</v>
      </c>
      <c r="AJ70" t="s">
        <v>485</v>
      </c>
      <c r="AN70" t="s">
        <v>486</v>
      </c>
      <c r="AP70" t="str">
        <f>"35"</f>
        <v>35</v>
      </c>
      <c r="AQ70" t="str">
        <f>"36"</f>
        <v>36</v>
      </c>
      <c r="AS70" t="str">
        <f>"0"</f>
        <v>0</v>
      </c>
      <c r="AT70" t="str">
        <f>"1"</f>
        <v>1</v>
      </c>
      <c r="BH70" t="s">
        <v>118</v>
      </c>
      <c r="BI70">
        <v>0</v>
      </c>
    </row>
    <row r="71" spans="1:93" hidden="1" x14ac:dyDescent="0.3">
      <c r="A71">
        <v>2779815</v>
      </c>
      <c r="B71">
        <v>1771880</v>
      </c>
      <c r="C71" t="str">
        <f>"910309450904"</f>
        <v>910309450904</v>
      </c>
      <c r="D71" t="s">
        <v>837</v>
      </c>
      <c r="E71" t="s">
        <v>134</v>
      </c>
      <c r="F71" t="s">
        <v>838</v>
      </c>
      <c r="G71" s="1">
        <v>33306</v>
      </c>
      <c r="I71" t="s">
        <v>106</v>
      </c>
      <c r="J71" t="s">
        <v>107</v>
      </c>
      <c r="K71" t="s">
        <v>108</v>
      </c>
      <c r="P71" t="s">
        <v>109</v>
      </c>
      <c r="Q71" t="s">
        <v>136</v>
      </c>
      <c r="W71" t="str">
        <f>"2022-11-01T00:00:00"</f>
        <v>2022-11-01T00:00:00</v>
      </c>
      <c r="X71" t="str">
        <f>"200"</f>
        <v>200</v>
      </c>
      <c r="Z71" t="s">
        <v>540</v>
      </c>
      <c r="AA71" t="s">
        <v>111</v>
      </c>
      <c r="AE71" t="s">
        <v>138</v>
      </c>
      <c r="AF71" t="s">
        <v>839</v>
      </c>
      <c r="AG71">
        <v>1.5</v>
      </c>
      <c r="AH71" t="s">
        <v>114</v>
      </c>
      <c r="AI71" t="s">
        <v>115</v>
      </c>
      <c r="AJ71" t="s">
        <v>485</v>
      </c>
      <c r="AN71" t="s">
        <v>486</v>
      </c>
      <c r="AP71" t="str">
        <f>"5"</f>
        <v>5</v>
      </c>
      <c r="AQ71" t="str">
        <f>"6"</f>
        <v>6</v>
      </c>
      <c r="AS71" t="str">
        <f>"0"</f>
        <v>0</v>
      </c>
      <c r="AT71" t="str">
        <f>"1"</f>
        <v>1</v>
      </c>
      <c r="BH71" t="s">
        <v>118</v>
      </c>
      <c r="BI71">
        <v>0</v>
      </c>
    </row>
    <row r="72" spans="1:93" hidden="1" x14ac:dyDescent="0.3">
      <c r="A72">
        <v>2779816</v>
      </c>
      <c r="B72">
        <v>165780</v>
      </c>
      <c r="C72" t="str">
        <f>"690412350167"</f>
        <v>690412350167</v>
      </c>
      <c r="D72" t="s">
        <v>840</v>
      </c>
      <c r="E72" t="s">
        <v>841</v>
      </c>
      <c r="F72" t="s">
        <v>842</v>
      </c>
      <c r="G72" s="1">
        <v>25305</v>
      </c>
      <c r="I72" t="s">
        <v>548</v>
      </c>
      <c r="J72" t="s">
        <v>107</v>
      </c>
      <c r="K72" t="s">
        <v>108</v>
      </c>
      <c r="P72" t="s">
        <v>843</v>
      </c>
      <c r="Q72" t="s">
        <v>136</v>
      </c>
      <c r="W72" t="str">
        <f>"2022-11-23T00:00:00"</f>
        <v>2022-11-23T00:00:00</v>
      </c>
      <c r="X72" t="str">
        <f>"222"</f>
        <v>222</v>
      </c>
      <c r="Z72" t="s">
        <v>540</v>
      </c>
      <c r="AA72" t="s">
        <v>111</v>
      </c>
      <c r="AE72" t="s">
        <v>138</v>
      </c>
      <c r="AF72" t="s">
        <v>844</v>
      </c>
      <c r="AG72">
        <v>1</v>
      </c>
      <c r="AH72" t="s">
        <v>114</v>
      </c>
      <c r="AI72" t="s">
        <v>115</v>
      </c>
      <c r="AJ72" t="s">
        <v>485</v>
      </c>
      <c r="AN72" t="s">
        <v>486</v>
      </c>
      <c r="AP72" t="str">
        <f>"33"</f>
        <v>33</v>
      </c>
      <c r="AQ72" t="str">
        <f>"34"</f>
        <v>34</v>
      </c>
      <c r="AS72" t="str">
        <f>"0"</f>
        <v>0</v>
      </c>
      <c r="AT72" t="str">
        <f>"1"</f>
        <v>1</v>
      </c>
      <c r="BH72" t="s">
        <v>118</v>
      </c>
      <c r="BI72">
        <v>0</v>
      </c>
    </row>
    <row r="73" spans="1:93" hidden="1" x14ac:dyDescent="0.3">
      <c r="A73">
        <v>2779817</v>
      </c>
      <c r="B73">
        <v>1771881</v>
      </c>
      <c r="C73" t="str">
        <f>"721024450660"</f>
        <v>721024450660</v>
      </c>
      <c r="D73" t="s">
        <v>225</v>
      </c>
      <c r="E73" t="s">
        <v>845</v>
      </c>
      <c r="F73" t="s">
        <v>846</v>
      </c>
      <c r="G73" s="1">
        <v>26596</v>
      </c>
      <c r="I73" t="s">
        <v>106</v>
      </c>
      <c r="J73" t="s">
        <v>107</v>
      </c>
      <c r="K73" t="s">
        <v>108</v>
      </c>
      <c r="P73" t="s">
        <v>109</v>
      </c>
      <c r="Q73" t="s">
        <v>136</v>
      </c>
      <c r="W73" t="str">
        <f>"2023-07-04T00:00:00"</f>
        <v>2023-07-04T00:00:00</v>
      </c>
      <c r="X73" t="str">
        <f>"165"</f>
        <v>165</v>
      </c>
      <c r="Z73" t="s">
        <v>540</v>
      </c>
      <c r="AA73" t="s">
        <v>111</v>
      </c>
      <c r="AE73" t="s">
        <v>138</v>
      </c>
      <c r="AF73" t="s">
        <v>484</v>
      </c>
      <c r="AG73">
        <v>1.5</v>
      </c>
      <c r="AH73" t="s">
        <v>114</v>
      </c>
      <c r="AI73" t="s">
        <v>115</v>
      </c>
      <c r="AJ73" t="s">
        <v>485</v>
      </c>
      <c r="AN73" t="s">
        <v>486</v>
      </c>
      <c r="AP73" t="str">
        <f>"35"</f>
        <v>35</v>
      </c>
      <c r="AQ73" t="str">
        <f>"35"</f>
        <v>35</v>
      </c>
      <c r="AS73" t="str">
        <f>"0"</f>
        <v>0</v>
      </c>
      <c r="AT73" t="str">
        <f t="shared" ref="AT73:AT102" si="6">"0"</f>
        <v>0</v>
      </c>
      <c r="BH73" t="s">
        <v>118</v>
      </c>
      <c r="BI73">
        <v>0</v>
      </c>
    </row>
    <row r="74" spans="1:93" x14ac:dyDescent="0.3">
      <c r="A74">
        <v>2779819</v>
      </c>
      <c r="B74">
        <v>154323</v>
      </c>
      <c r="C74" t="str">
        <f>"710210401202"</f>
        <v>710210401202</v>
      </c>
      <c r="D74" t="s">
        <v>847</v>
      </c>
      <c r="E74" t="s">
        <v>848</v>
      </c>
      <c r="F74" t="s">
        <v>849</v>
      </c>
      <c r="G74" s="1">
        <v>25974</v>
      </c>
      <c r="I74" t="s">
        <v>106</v>
      </c>
      <c r="J74" t="s">
        <v>107</v>
      </c>
      <c r="K74" t="s">
        <v>108</v>
      </c>
      <c r="P74" t="s">
        <v>109</v>
      </c>
      <c r="Q74" t="s">
        <v>136</v>
      </c>
      <c r="W74" t="str">
        <f>"2023-08-16T00:00:00"</f>
        <v>2023-08-16T00:00:00</v>
      </c>
      <c r="X74" t="str">
        <f>"197"</f>
        <v>197</v>
      </c>
      <c r="Z74" t="s">
        <v>396</v>
      </c>
      <c r="AA74" t="s">
        <v>111</v>
      </c>
      <c r="AE74" t="s">
        <v>138</v>
      </c>
      <c r="AF74" t="s">
        <v>113</v>
      </c>
      <c r="AG74">
        <v>1.5</v>
      </c>
      <c r="AH74" t="s">
        <v>114</v>
      </c>
      <c r="AI74" t="s">
        <v>115</v>
      </c>
      <c r="AJ74" t="s">
        <v>116</v>
      </c>
      <c r="AK74" t="s">
        <v>136</v>
      </c>
      <c r="AN74" t="s">
        <v>117</v>
      </c>
      <c r="AO74" t="s">
        <v>118</v>
      </c>
      <c r="AP74" t="str">
        <f>"31"</f>
        <v>31</v>
      </c>
      <c r="AQ74" t="str">
        <f>"31"</f>
        <v>31</v>
      </c>
      <c r="AR74" t="str">
        <f>"31"</f>
        <v>31</v>
      </c>
      <c r="AS74" t="str">
        <f>"31"</f>
        <v>31</v>
      </c>
      <c r="AT74" t="str">
        <f t="shared" si="6"/>
        <v>0</v>
      </c>
      <c r="AU74" t="str">
        <f>"saule.akylbekova.71@mail.ru"</f>
        <v>saule.akylbekova.71@mail.ru</v>
      </c>
      <c r="AV74" t="str">
        <f>"87712975122"</f>
        <v>87712975122</v>
      </c>
      <c r="AW74" t="s">
        <v>139</v>
      </c>
      <c r="AX74" t="s">
        <v>423</v>
      </c>
      <c r="AY74" t="s">
        <v>210</v>
      </c>
      <c r="AZ74" t="s">
        <v>189</v>
      </c>
      <c r="BD74" t="s">
        <v>141</v>
      </c>
      <c r="BE74" t="s">
        <v>122</v>
      </c>
      <c r="BF74">
        <v>1.5</v>
      </c>
      <c r="BG74" t="str">
        <f>"[24]"</f>
        <v>[24]</v>
      </c>
      <c r="BH74" t="s">
        <v>850</v>
      </c>
      <c r="BI74">
        <v>0.7</v>
      </c>
      <c r="BJ74" t="s">
        <v>119</v>
      </c>
      <c r="BL74" t="s">
        <v>171</v>
      </c>
      <c r="BM74">
        <v>0</v>
      </c>
      <c r="BN74" t="s">
        <v>161</v>
      </c>
      <c r="BR74" t="s">
        <v>131</v>
      </c>
      <c r="BU74" t="s">
        <v>851</v>
      </c>
      <c r="BV74" t="s">
        <v>852</v>
      </c>
      <c r="BW74" t="s">
        <v>853</v>
      </c>
      <c r="BX74" t="s">
        <v>412</v>
      </c>
      <c r="BY74" t="s">
        <v>195</v>
      </c>
      <c r="BZ74" t="s">
        <v>854</v>
      </c>
      <c r="CA74" t="s">
        <v>855</v>
      </c>
      <c r="CB74" t="s">
        <v>856</v>
      </c>
      <c r="CC74" t="s">
        <v>857</v>
      </c>
      <c r="CD74" t="s">
        <v>171</v>
      </c>
      <c r="CE74" t="s">
        <v>858</v>
      </c>
      <c r="CF74" t="s">
        <v>153</v>
      </c>
      <c r="CI74" t="str">
        <f>"0"</f>
        <v>0</v>
      </c>
      <c r="CL74" t="s">
        <v>136</v>
      </c>
      <c r="CN74" t="s">
        <v>132</v>
      </c>
      <c r="CO74" t="s">
        <v>118</v>
      </c>
    </row>
    <row r="75" spans="1:93" hidden="1" x14ac:dyDescent="0.3">
      <c r="A75">
        <v>2779899</v>
      </c>
      <c r="B75">
        <v>154556</v>
      </c>
      <c r="C75" t="str">
        <f>"661203450085"</f>
        <v>661203450085</v>
      </c>
      <c r="D75" t="s">
        <v>859</v>
      </c>
      <c r="E75" t="s">
        <v>258</v>
      </c>
      <c r="F75" t="s">
        <v>860</v>
      </c>
      <c r="G75" s="1">
        <v>24444</v>
      </c>
      <c r="I75" t="s">
        <v>106</v>
      </c>
      <c r="J75" t="s">
        <v>107</v>
      </c>
      <c r="K75" t="s">
        <v>108</v>
      </c>
      <c r="P75" t="s">
        <v>109</v>
      </c>
      <c r="Q75" t="s">
        <v>136</v>
      </c>
      <c r="W75" t="str">
        <f>"2023-08-01T00:00:00"</f>
        <v>2023-08-01T00:00:00</v>
      </c>
      <c r="X75" t="str">
        <f>"180"</f>
        <v>180</v>
      </c>
      <c r="Z75" t="s">
        <v>540</v>
      </c>
      <c r="AA75" t="s">
        <v>111</v>
      </c>
      <c r="AE75" t="s">
        <v>138</v>
      </c>
      <c r="AF75" t="s">
        <v>585</v>
      </c>
      <c r="AG75">
        <v>1</v>
      </c>
      <c r="AH75" t="s">
        <v>114</v>
      </c>
      <c r="AI75" t="s">
        <v>115</v>
      </c>
      <c r="AJ75" t="s">
        <v>490</v>
      </c>
      <c r="AN75" t="s">
        <v>486</v>
      </c>
      <c r="AP75" t="str">
        <f>"38"</f>
        <v>38</v>
      </c>
      <c r="AQ75" t="str">
        <f>"38"</f>
        <v>38</v>
      </c>
      <c r="AS75" t="str">
        <f>"0"</f>
        <v>0</v>
      </c>
      <c r="AT75" t="str">
        <f t="shared" si="6"/>
        <v>0</v>
      </c>
      <c r="BH75" t="s">
        <v>118</v>
      </c>
      <c r="BI75">
        <v>0</v>
      </c>
    </row>
    <row r="76" spans="1:93" hidden="1" x14ac:dyDescent="0.3">
      <c r="A76">
        <v>2878766</v>
      </c>
      <c r="B76">
        <v>1692808</v>
      </c>
      <c r="C76" t="str">
        <f>"821025450954"</f>
        <v>821025450954</v>
      </c>
      <c r="D76" t="s">
        <v>861</v>
      </c>
      <c r="E76" t="s">
        <v>155</v>
      </c>
      <c r="F76" t="s">
        <v>862</v>
      </c>
      <c r="G76" s="1">
        <v>30249</v>
      </c>
      <c r="I76" t="s">
        <v>106</v>
      </c>
      <c r="J76" t="s">
        <v>107</v>
      </c>
      <c r="K76" t="s">
        <v>108</v>
      </c>
      <c r="P76" t="s">
        <v>109</v>
      </c>
      <c r="Q76" t="s">
        <v>136</v>
      </c>
      <c r="W76" t="str">
        <f>"2023-07-17T00:00:00"</f>
        <v>2023-07-17T00:00:00</v>
      </c>
      <c r="X76" t="str">
        <f>"172"</f>
        <v>172</v>
      </c>
      <c r="Z76" t="s">
        <v>110</v>
      </c>
      <c r="AA76" t="s">
        <v>772</v>
      </c>
      <c r="AE76" t="s">
        <v>138</v>
      </c>
      <c r="AF76" t="s">
        <v>863</v>
      </c>
      <c r="AG76">
        <v>1</v>
      </c>
      <c r="AH76" t="s">
        <v>774</v>
      </c>
      <c r="AI76" t="s">
        <v>115</v>
      </c>
      <c r="AJ76" t="s">
        <v>775</v>
      </c>
      <c r="AN76" t="s">
        <v>486</v>
      </c>
      <c r="AP76" t="str">
        <f>"18"</f>
        <v>18</v>
      </c>
      <c r="AQ76" t="str">
        <f>"18"</f>
        <v>18</v>
      </c>
      <c r="AS76" t="str">
        <f>"0"</f>
        <v>0</v>
      </c>
      <c r="AT76" t="str">
        <f t="shared" si="6"/>
        <v>0</v>
      </c>
      <c r="BH76" t="s">
        <v>864</v>
      </c>
      <c r="BI76">
        <v>0.5</v>
      </c>
    </row>
    <row r="77" spans="1:93" x14ac:dyDescent="0.3">
      <c r="A77">
        <v>2878772</v>
      </c>
      <c r="B77">
        <v>141525</v>
      </c>
      <c r="C77" t="str">
        <f>"731028401547"</f>
        <v>731028401547</v>
      </c>
      <c r="D77" t="s">
        <v>865</v>
      </c>
      <c r="E77" t="s">
        <v>866</v>
      </c>
      <c r="F77" t="s">
        <v>867</v>
      </c>
      <c r="G77" s="1">
        <v>26965</v>
      </c>
      <c r="I77" t="s">
        <v>106</v>
      </c>
      <c r="J77" t="s">
        <v>107</v>
      </c>
      <c r="K77" t="s">
        <v>108</v>
      </c>
      <c r="P77" t="s">
        <v>109</v>
      </c>
      <c r="Q77" t="s">
        <v>136</v>
      </c>
      <c r="W77" t="str">
        <f t="shared" ref="W77:W85" si="7">"2023-09-01T00:00:00"</f>
        <v>2023-09-01T00:00:00</v>
      </c>
      <c r="X77" t="str">
        <f t="shared" ref="X77:X82" si="8">"1"</f>
        <v>1</v>
      </c>
      <c r="Z77" t="s">
        <v>110</v>
      </c>
      <c r="AA77" t="s">
        <v>772</v>
      </c>
      <c r="AE77" t="s">
        <v>138</v>
      </c>
      <c r="AF77" t="s">
        <v>207</v>
      </c>
      <c r="AG77">
        <v>1.2</v>
      </c>
      <c r="AH77" t="s">
        <v>774</v>
      </c>
      <c r="AI77" t="s">
        <v>229</v>
      </c>
      <c r="AJ77" t="s">
        <v>230</v>
      </c>
      <c r="AN77" t="s">
        <v>117</v>
      </c>
      <c r="AO77" t="s">
        <v>118</v>
      </c>
      <c r="AP77" t="str">
        <f>"31"</f>
        <v>31</v>
      </c>
      <c r="AQ77" t="str">
        <f>"31"</f>
        <v>31</v>
      </c>
      <c r="AR77" t="str">
        <f>"31"</f>
        <v>31</v>
      </c>
      <c r="AS77" t="str">
        <f>"31"</f>
        <v>31</v>
      </c>
      <c r="AT77" t="str">
        <f t="shared" si="6"/>
        <v>0</v>
      </c>
      <c r="AU77" t="str">
        <f>"amarkulova777@mail.ru"</f>
        <v>amarkulova777@mail.ru</v>
      </c>
      <c r="AV77" t="str">
        <f>"87713725987"</f>
        <v>87713725987</v>
      </c>
      <c r="AW77" t="s">
        <v>231</v>
      </c>
      <c r="AX77" t="s">
        <v>423</v>
      </c>
      <c r="AZ77" t="s">
        <v>189</v>
      </c>
      <c r="BD77" t="s">
        <v>212</v>
      </c>
      <c r="BE77" t="s">
        <v>122</v>
      </c>
      <c r="BF77">
        <v>1.2</v>
      </c>
      <c r="BG77" t="str">
        <f>"[19]"</f>
        <v>[19]</v>
      </c>
      <c r="BH77" t="s">
        <v>118</v>
      </c>
      <c r="BI77">
        <v>0</v>
      </c>
      <c r="BN77" t="s">
        <v>142</v>
      </c>
      <c r="BR77" t="s">
        <v>131</v>
      </c>
      <c r="BU77" t="s">
        <v>143</v>
      </c>
      <c r="BV77" t="s">
        <v>868</v>
      </c>
      <c r="BW77" t="s">
        <v>869</v>
      </c>
      <c r="BX77" t="s">
        <v>870</v>
      </c>
      <c r="BY77" t="s">
        <v>147</v>
      </c>
      <c r="BZ77" t="s">
        <v>871</v>
      </c>
      <c r="CA77" t="s">
        <v>872</v>
      </c>
      <c r="CB77" t="s">
        <v>873</v>
      </c>
      <c r="CC77" t="s">
        <v>874</v>
      </c>
      <c r="CD77" t="s">
        <v>171</v>
      </c>
      <c r="CE77" t="s">
        <v>384</v>
      </c>
      <c r="CF77" s="2">
        <v>45383</v>
      </c>
      <c r="CI77" t="str">
        <f>"0"</f>
        <v>0</v>
      </c>
      <c r="CL77" t="s">
        <v>131</v>
      </c>
      <c r="CN77" t="s">
        <v>132</v>
      </c>
      <c r="CO77" t="s">
        <v>185</v>
      </c>
    </row>
    <row r="78" spans="1:93" x14ac:dyDescent="0.3">
      <c r="A78">
        <v>2878774</v>
      </c>
      <c r="B78">
        <v>157750</v>
      </c>
      <c r="C78" t="str">
        <f>"520710300018"</f>
        <v>520710300018</v>
      </c>
      <c r="D78" t="s">
        <v>875</v>
      </c>
      <c r="E78" t="s">
        <v>876</v>
      </c>
      <c r="F78" t="s">
        <v>877</v>
      </c>
      <c r="G78" s="1">
        <v>19185</v>
      </c>
      <c r="I78" t="s">
        <v>548</v>
      </c>
      <c r="J78" t="s">
        <v>107</v>
      </c>
      <c r="K78" t="s">
        <v>108</v>
      </c>
      <c r="P78" t="s">
        <v>109</v>
      </c>
      <c r="Q78" t="s">
        <v>136</v>
      </c>
      <c r="W78" t="str">
        <f t="shared" si="7"/>
        <v>2023-09-01T00:00:00</v>
      </c>
      <c r="X78" t="str">
        <f t="shared" si="8"/>
        <v>1</v>
      </c>
      <c r="Z78" t="s">
        <v>110</v>
      </c>
      <c r="AA78" t="s">
        <v>772</v>
      </c>
      <c r="AE78" t="s">
        <v>138</v>
      </c>
      <c r="AF78" t="s">
        <v>113</v>
      </c>
      <c r="AG78">
        <v>0.1</v>
      </c>
      <c r="AH78" t="s">
        <v>774</v>
      </c>
      <c r="AI78" t="s">
        <v>115</v>
      </c>
      <c r="AJ78" t="s">
        <v>116</v>
      </c>
      <c r="AN78" t="s">
        <v>117</v>
      </c>
      <c r="AO78" t="s">
        <v>118</v>
      </c>
      <c r="AP78" t="str">
        <f>"25"</f>
        <v>25</v>
      </c>
      <c r="AQ78" t="str">
        <f>"25"</f>
        <v>25</v>
      </c>
      <c r="AR78" t="str">
        <f>"25"</f>
        <v>25</v>
      </c>
      <c r="AS78" t="str">
        <f>"25"</f>
        <v>25</v>
      </c>
      <c r="AT78" t="str">
        <f t="shared" si="6"/>
        <v>0</v>
      </c>
      <c r="AU78" t="str">
        <f>"duk_2006@mail.ru"</f>
        <v>duk_2006@mail.ru</v>
      </c>
      <c r="AV78" t="str">
        <f>"87015337243"</f>
        <v>87015337243</v>
      </c>
      <c r="AW78" t="s">
        <v>119</v>
      </c>
      <c r="AZ78" t="s">
        <v>120</v>
      </c>
      <c r="BD78" t="s">
        <v>553</v>
      </c>
      <c r="BE78" t="s">
        <v>122</v>
      </c>
      <c r="BF78">
        <v>0.1</v>
      </c>
      <c r="BG78" t="str">
        <f>"[2]"</f>
        <v>[2]</v>
      </c>
      <c r="BH78" t="s">
        <v>118</v>
      </c>
      <c r="BI78">
        <v>0</v>
      </c>
      <c r="BN78" t="s">
        <v>142</v>
      </c>
      <c r="BR78" t="s">
        <v>131</v>
      </c>
      <c r="BU78" t="s">
        <v>588</v>
      </c>
      <c r="CD78" t="s">
        <v>171</v>
      </c>
      <c r="CE78" t="s">
        <v>878</v>
      </c>
      <c r="CF78" t="s">
        <v>153</v>
      </c>
      <c r="CI78" t="str">
        <f>"0"</f>
        <v>0</v>
      </c>
      <c r="CL78" t="s">
        <v>136</v>
      </c>
      <c r="CN78" t="s">
        <v>132</v>
      </c>
      <c r="CO78" t="s">
        <v>118</v>
      </c>
    </row>
    <row r="79" spans="1:93" x14ac:dyDescent="0.3">
      <c r="A79">
        <v>2878775</v>
      </c>
      <c r="B79">
        <v>1316009</v>
      </c>
      <c r="C79" t="str">
        <f>"971106450855"</f>
        <v>971106450855</v>
      </c>
      <c r="D79" t="s">
        <v>879</v>
      </c>
      <c r="E79" t="s">
        <v>104</v>
      </c>
      <c r="F79" t="s">
        <v>880</v>
      </c>
      <c r="G79" s="1">
        <v>35740</v>
      </c>
      <c r="I79" t="s">
        <v>106</v>
      </c>
      <c r="J79" t="s">
        <v>107</v>
      </c>
      <c r="K79" t="s">
        <v>108</v>
      </c>
      <c r="P79" t="s">
        <v>109</v>
      </c>
      <c r="Q79" t="s">
        <v>136</v>
      </c>
      <c r="W79" t="str">
        <f t="shared" si="7"/>
        <v>2023-09-01T00:00:00</v>
      </c>
      <c r="X79" t="str">
        <f t="shared" si="8"/>
        <v>1</v>
      </c>
      <c r="Z79" t="s">
        <v>110</v>
      </c>
      <c r="AA79" t="s">
        <v>772</v>
      </c>
      <c r="AE79" t="s">
        <v>138</v>
      </c>
      <c r="AF79" t="s">
        <v>113</v>
      </c>
      <c r="AG79">
        <v>0.4</v>
      </c>
      <c r="AH79" t="s">
        <v>774</v>
      </c>
      <c r="AI79" t="s">
        <v>115</v>
      </c>
      <c r="AJ79" t="s">
        <v>116</v>
      </c>
      <c r="AN79" t="s">
        <v>117</v>
      </c>
      <c r="AO79" t="s">
        <v>118</v>
      </c>
      <c r="AP79" t="str">
        <f>"4"</f>
        <v>4</v>
      </c>
      <c r="AQ79" t="str">
        <f>"4"</f>
        <v>4</v>
      </c>
      <c r="AR79" t="str">
        <f>"4"</f>
        <v>4</v>
      </c>
      <c r="AS79" t="str">
        <f>"4"</f>
        <v>4</v>
      </c>
      <c r="AT79" t="str">
        <f t="shared" si="6"/>
        <v>0</v>
      </c>
      <c r="AU79" t="str">
        <f>"akmaral_19.97@mail.ru"</f>
        <v>akmaral_19.97@mail.ru</v>
      </c>
      <c r="AV79" t="str">
        <f>"87781218792"</f>
        <v>87781218792</v>
      </c>
      <c r="AW79" t="s">
        <v>119</v>
      </c>
      <c r="AZ79" t="s">
        <v>189</v>
      </c>
      <c r="BD79" t="s">
        <v>593</v>
      </c>
      <c r="BE79" t="s">
        <v>122</v>
      </c>
      <c r="BF79">
        <v>0.4</v>
      </c>
      <c r="BG79" t="str">
        <f>"[6]"</f>
        <v>[6]</v>
      </c>
      <c r="BH79" t="s">
        <v>118</v>
      </c>
      <c r="BI79">
        <v>0</v>
      </c>
      <c r="BN79" t="s">
        <v>142</v>
      </c>
      <c r="BR79" t="s">
        <v>131</v>
      </c>
      <c r="BU79" t="s">
        <v>123</v>
      </c>
      <c r="BV79" t="s">
        <v>593</v>
      </c>
      <c r="BW79" t="s">
        <v>881</v>
      </c>
      <c r="BX79" t="s">
        <v>125</v>
      </c>
      <c r="BY79" t="s">
        <v>126</v>
      </c>
      <c r="BZ79">
        <v>80</v>
      </c>
      <c r="CA79" t="s">
        <v>882</v>
      </c>
      <c r="CB79" t="s">
        <v>883</v>
      </c>
      <c r="CC79">
        <v>11</v>
      </c>
      <c r="CD79" t="s">
        <v>593</v>
      </c>
      <c r="CE79" t="s">
        <v>884</v>
      </c>
      <c r="CF79" t="s">
        <v>153</v>
      </c>
      <c r="CI79" t="str">
        <f>"0"</f>
        <v>0</v>
      </c>
      <c r="CL79" t="s">
        <v>136</v>
      </c>
      <c r="CN79" t="s">
        <v>132</v>
      </c>
      <c r="CO79" t="s">
        <v>118</v>
      </c>
    </row>
    <row r="80" spans="1:93" x14ac:dyDescent="0.3">
      <c r="A80">
        <v>2878777</v>
      </c>
      <c r="B80">
        <v>155001</v>
      </c>
      <c r="C80" t="str">
        <f>"701213401100"</f>
        <v>701213401100</v>
      </c>
      <c r="D80" t="s">
        <v>885</v>
      </c>
      <c r="E80" t="s">
        <v>886</v>
      </c>
      <c r="F80" t="s">
        <v>887</v>
      </c>
      <c r="G80" s="1">
        <v>25915</v>
      </c>
      <c r="I80" t="s">
        <v>106</v>
      </c>
      <c r="J80" t="s">
        <v>107</v>
      </c>
      <c r="K80" t="s">
        <v>108</v>
      </c>
      <c r="P80" t="s">
        <v>109</v>
      </c>
      <c r="Q80" t="s">
        <v>136</v>
      </c>
      <c r="W80" t="str">
        <f t="shared" si="7"/>
        <v>2023-09-01T00:00:00</v>
      </c>
      <c r="X80" t="str">
        <f t="shared" si="8"/>
        <v>1</v>
      </c>
      <c r="Z80" t="s">
        <v>110</v>
      </c>
      <c r="AA80" t="s">
        <v>772</v>
      </c>
      <c r="AE80" t="s">
        <v>138</v>
      </c>
      <c r="AF80" t="s">
        <v>113</v>
      </c>
      <c r="AG80">
        <v>0.9</v>
      </c>
      <c r="AH80" t="s">
        <v>774</v>
      </c>
      <c r="AI80" t="s">
        <v>115</v>
      </c>
      <c r="AJ80" t="s">
        <v>116</v>
      </c>
      <c r="AN80" t="s">
        <v>117</v>
      </c>
      <c r="AO80" t="s">
        <v>118</v>
      </c>
      <c r="AP80" t="str">
        <f>"30"</f>
        <v>30</v>
      </c>
      <c r="AQ80" t="str">
        <f>"30"</f>
        <v>30</v>
      </c>
      <c r="AR80" t="str">
        <f>"30"</f>
        <v>30</v>
      </c>
      <c r="AS80" t="str">
        <f>"30"</f>
        <v>30</v>
      </c>
      <c r="AT80" t="str">
        <f t="shared" si="6"/>
        <v>0</v>
      </c>
      <c r="AU80" t="str">
        <f>"gulya.kairkenova@mail.ru"</f>
        <v>gulya.kairkenova@mail.ru</v>
      </c>
      <c r="AV80" t="str">
        <f>"87716673933"</f>
        <v>87716673933</v>
      </c>
      <c r="AW80" t="s">
        <v>231</v>
      </c>
      <c r="AX80" t="s">
        <v>232</v>
      </c>
      <c r="AZ80" t="s">
        <v>211</v>
      </c>
      <c r="BD80" t="s">
        <v>320</v>
      </c>
      <c r="BE80" t="s">
        <v>122</v>
      </c>
      <c r="BF80">
        <v>0.9</v>
      </c>
      <c r="BG80" t="str">
        <f>"[15]"</f>
        <v>[15]</v>
      </c>
      <c r="BH80" t="s">
        <v>118</v>
      </c>
      <c r="BI80">
        <v>0</v>
      </c>
      <c r="BN80" t="s">
        <v>142</v>
      </c>
      <c r="BR80" t="s">
        <v>131</v>
      </c>
      <c r="BU80" t="s">
        <v>888</v>
      </c>
      <c r="BV80" t="s">
        <v>889</v>
      </c>
      <c r="BW80" t="s">
        <v>890</v>
      </c>
      <c r="BX80" t="s">
        <v>891</v>
      </c>
      <c r="BY80" t="s">
        <v>464</v>
      </c>
      <c r="BZ80" t="s">
        <v>892</v>
      </c>
      <c r="CA80" t="s">
        <v>893</v>
      </c>
      <c r="CB80" t="s">
        <v>894</v>
      </c>
      <c r="CC80" t="s">
        <v>895</v>
      </c>
      <c r="CD80" t="s">
        <v>171</v>
      </c>
      <c r="CE80" t="s">
        <v>896</v>
      </c>
      <c r="CF80" t="s">
        <v>153</v>
      </c>
      <c r="CI80" t="str">
        <f>"0"</f>
        <v>0</v>
      </c>
      <c r="CL80" t="s">
        <v>136</v>
      </c>
      <c r="CN80" t="s">
        <v>132</v>
      </c>
      <c r="CO80" t="s">
        <v>118</v>
      </c>
    </row>
    <row r="81" spans="1:93" x14ac:dyDescent="0.3">
      <c r="A81">
        <v>2878780</v>
      </c>
      <c r="B81">
        <v>142575</v>
      </c>
      <c r="C81" t="str">
        <f>"940123450542"</f>
        <v>940123450542</v>
      </c>
      <c r="D81" t="s">
        <v>776</v>
      </c>
      <c r="E81" t="s">
        <v>897</v>
      </c>
      <c r="F81" t="s">
        <v>898</v>
      </c>
      <c r="G81" s="1">
        <v>34357</v>
      </c>
      <c r="I81" t="s">
        <v>106</v>
      </c>
      <c r="J81" t="s">
        <v>107</v>
      </c>
      <c r="K81" t="s">
        <v>108</v>
      </c>
      <c r="P81" t="s">
        <v>109</v>
      </c>
      <c r="Q81" t="s">
        <v>136</v>
      </c>
      <c r="W81" t="str">
        <f t="shared" si="7"/>
        <v>2023-09-01T00:00:00</v>
      </c>
      <c r="X81" t="str">
        <f t="shared" si="8"/>
        <v>1</v>
      </c>
      <c r="Z81" t="s">
        <v>110</v>
      </c>
      <c r="AA81" t="s">
        <v>772</v>
      </c>
      <c r="AE81" t="s">
        <v>138</v>
      </c>
      <c r="AF81" t="s">
        <v>113</v>
      </c>
      <c r="AG81">
        <v>0.6</v>
      </c>
      <c r="AH81" t="s">
        <v>774</v>
      </c>
      <c r="AI81" t="s">
        <v>115</v>
      </c>
      <c r="AJ81" t="s">
        <v>208</v>
      </c>
      <c r="AN81" t="s">
        <v>117</v>
      </c>
      <c r="AO81" t="s">
        <v>118</v>
      </c>
      <c r="AP81" t="str">
        <f>"10"</f>
        <v>10</v>
      </c>
      <c r="AQ81" t="str">
        <f>"10"</f>
        <v>10</v>
      </c>
      <c r="AR81" t="str">
        <f>"10"</f>
        <v>10</v>
      </c>
      <c r="AS81" t="str">
        <f>"10"</f>
        <v>10</v>
      </c>
      <c r="AT81" t="str">
        <f t="shared" si="6"/>
        <v>0</v>
      </c>
      <c r="AU81" t="str">
        <f>"anarka94.vip@mail.ru"</f>
        <v>anarka94.vip@mail.ru</v>
      </c>
      <c r="AV81" t="str">
        <f>"87055838312"</f>
        <v>87055838312</v>
      </c>
      <c r="AW81" t="s">
        <v>159</v>
      </c>
      <c r="AX81" t="s">
        <v>232</v>
      </c>
      <c r="AZ81" t="s">
        <v>211</v>
      </c>
      <c r="BD81" t="s">
        <v>567</v>
      </c>
      <c r="BE81" t="s">
        <v>213</v>
      </c>
      <c r="BF81">
        <v>0.6</v>
      </c>
      <c r="BG81" t="str">
        <f>"[10]"</f>
        <v>[10]</v>
      </c>
      <c r="BH81" t="s">
        <v>118</v>
      </c>
      <c r="BI81">
        <v>0</v>
      </c>
      <c r="BN81" t="s">
        <v>142</v>
      </c>
      <c r="BR81" t="s">
        <v>131</v>
      </c>
      <c r="BU81" t="s">
        <v>143</v>
      </c>
      <c r="BV81" t="s">
        <v>899</v>
      </c>
      <c r="BW81" t="s">
        <v>900</v>
      </c>
      <c r="BX81" t="s">
        <v>146</v>
      </c>
      <c r="BY81" t="s">
        <v>346</v>
      </c>
      <c r="BZ81" t="s">
        <v>901</v>
      </c>
      <c r="CA81" t="s">
        <v>902</v>
      </c>
      <c r="CB81" t="s">
        <v>903</v>
      </c>
      <c r="CC81" t="s">
        <v>904</v>
      </c>
      <c r="CD81" t="s">
        <v>171</v>
      </c>
      <c r="CE81" t="s">
        <v>905</v>
      </c>
      <c r="CF81" s="2">
        <v>45383</v>
      </c>
      <c r="CI81" t="str">
        <f>"0"</f>
        <v>0</v>
      </c>
      <c r="CL81" t="s">
        <v>136</v>
      </c>
      <c r="CN81" t="s">
        <v>132</v>
      </c>
      <c r="CO81" t="s">
        <v>118</v>
      </c>
    </row>
    <row r="82" spans="1:93" x14ac:dyDescent="0.3">
      <c r="A82">
        <v>2878781</v>
      </c>
      <c r="B82">
        <v>153285</v>
      </c>
      <c r="C82" t="str">
        <f>"841126451192"</f>
        <v>841126451192</v>
      </c>
      <c r="D82" t="s">
        <v>906</v>
      </c>
      <c r="E82" t="s">
        <v>907</v>
      </c>
      <c r="F82" t="s">
        <v>908</v>
      </c>
      <c r="G82" s="1">
        <v>31012</v>
      </c>
      <c r="I82" t="s">
        <v>106</v>
      </c>
      <c r="J82" t="s">
        <v>107</v>
      </c>
      <c r="K82" t="s">
        <v>108</v>
      </c>
      <c r="P82" t="s">
        <v>109</v>
      </c>
      <c r="Q82" t="s">
        <v>136</v>
      </c>
      <c r="W82" t="str">
        <f t="shared" si="7"/>
        <v>2023-09-01T00:00:00</v>
      </c>
      <c r="X82" t="str">
        <f t="shared" si="8"/>
        <v>1</v>
      </c>
      <c r="Z82" t="s">
        <v>110</v>
      </c>
      <c r="AA82" t="s">
        <v>772</v>
      </c>
      <c r="AE82" t="s">
        <v>138</v>
      </c>
      <c r="AF82" t="s">
        <v>643</v>
      </c>
      <c r="AG82">
        <v>0.5</v>
      </c>
      <c r="AH82" t="s">
        <v>774</v>
      </c>
      <c r="AI82" t="s">
        <v>229</v>
      </c>
      <c r="AJ82" t="s">
        <v>230</v>
      </c>
      <c r="AN82" t="s">
        <v>117</v>
      </c>
      <c r="AO82" t="s">
        <v>158</v>
      </c>
      <c r="AP82" t="str">
        <f>"9"</f>
        <v>9</v>
      </c>
      <c r="AQ82" t="str">
        <f>"9"</f>
        <v>9</v>
      </c>
      <c r="AR82" t="str">
        <f>"9"</f>
        <v>9</v>
      </c>
      <c r="AS82" t="str">
        <f>"9"</f>
        <v>9</v>
      </c>
      <c r="AT82" t="str">
        <f t="shared" si="6"/>
        <v>0</v>
      </c>
      <c r="AU82" t="str">
        <f>"semushka_.85@mail.ru"</f>
        <v>semushka_.85@mail.ru</v>
      </c>
      <c r="AV82" t="str">
        <f>"87715368005"</f>
        <v>87715368005</v>
      </c>
      <c r="AW82" t="s">
        <v>139</v>
      </c>
      <c r="AX82" t="s">
        <v>909</v>
      </c>
      <c r="AZ82" t="s">
        <v>120</v>
      </c>
      <c r="BH82" t="s">
        <v>118</v>
      </c>
      <c r="BI82">
        <v>0</v>
      </c>
      <c r="BN82" t="s">
        <v>142</v>
      </c>
      <c r="BR82" t="s">
        <v>131</v>
      </c>
      <c r="BU82" t="s">
        <v>289</v>
      </c>
      <c r="BV82" t="s">
        <v>910</v>
      </c>
      <c r="BW82" t="s">
        <v>911</v>
      </c>
      <c r="BX82" t="s">
        <v>912</v>
      </c>
      <c r="BY82" t="s">
        <v>293</v>
      </c>
      <c r="BZ82" t="s">
        <v>913</v>
      </c>
      <c r="CA82" t="s">
        <v>914</v>
      </c>
      <c r="CB82" t="s">
        <v>915</v>
      </c>
      <c r="CC82" t="s">
        <v>916</v>
      </c>
      <c r="CD82" t="s">
        <v>171</v>
      </c>
      <c r="CL82" t="s">
        <v>136</v>
      </c>
      <c r="CN82" t="s">
        <v>132</v>
      </c>
      <c r="CO82" t="s">
        <v>917</v>
      </c>
    </row>
    <row r="83" spans="1:93" x14ac:dyDescent="0.3">
      <c r="A83">
        <v>2878794</v>
      </c>
      <c r="B83">
        <v>1781465</v>
      </c>
      <c r="C83" t="str">
        <f>"000211601113"</f>
        <v>000211601113</v>
      </c>
      <c r="D83" t="s">
        <v>918</v>
      </c>
      <c r="E83" t="s">
        <v>919</v>
      </c>
      <c r="F83" t="s">
        <v>920</v>
      </c>
      <c r="G83" s="1">
        <v>36567</v>
      </c>
      <c r="I83" t="s">
        <v>106</v>
      </c>
      <c r="J83" t="s">
        <v>107</v>
      </c>
      <c r="K83" t="s">
        <v>108</v>
      </c>
      <c r="P83" t="s">
        <v>109</v>
      </c>
      <c r="Q83" t="s">
        <v>136</v>
      </c>
      <c r="W83" t="str">
        <f t="shared" si="7"/>
        <v>2023-09-01T00:00:00</v>
      </c>
      <c r="X83" t="str">
        <f>"214"</f>
        <v>214</v>
      </c>
      <c r="Z83" t="s">
        <v>175</v>
      </c>
      <c r="AA83" t="s">
        <v>111</v>
      </c>
      <c r="AE83" t="s">
        <v>138</v>
      </c>
      <c r="AF83" t="s">
        <v>113</v>
      </c>
      <c r="AG83">
        <v>1</v>
      </c>
      <c r="AH83" t="s">
        <v>114</v>
      </c>
      <c r="AI83" t="s">
        <v>229</v>
      </c>
      <c r="AJ83" t="s">
        <v>230</v>
      </c>
      <c r="AN83" t="s">
        <v>117</v>
      </c>
      <c r="AO83" t="s">
        <v>118</v>
      </c>
      <c r="AP83" t="str">
        <f>"0"</f>
        <v>0</v>
      </c>
      <c r="AQ83" t="str">
        <f>"0"</f>
        <v>0</v>
      </c>
      <c r="AR83" t="str">
        <f>"0"</f>
        <v>0</v>
      </c>
      <c r="AS83" t="str">
        <f>"0"</f>
        <v>0</v>
      </c>
      <c r="AT83" t="str">
        <f t="shared" si="6"/>
        <v>0</v>
      </c>
      <c r="AU83" t="str">
        <f>"guldana.0036@gmail.com"</f>
        <v>guldana.0036@gmail.com</v>
      </c>
      <c r="AV83" t="str">
        <f>"87058572977"</f>
        <v>87058572977</v>
      </c>
      <c r="AW83" t="s">
        <v>119</v>
      </c>
      <c r="AZ83" t="s">
        <v>189</v>
      </c>
      <c r="BD83" t="s">
        <v>121</v>
      </c>
      <c r="BE83" t="s">
        <v>122</v>
      </c>
      <c r="BF83">
        <v>1</v>
      </c>
      <c r="BG83" t="str">
        <f>"[16]"</f>
        <v>[16]</v>
      </c>
      <c r="BH83" t="s">
        <v>118</v>
      </c>
      <c r="BI83">
        <v>0</v>
      </c>
      <c r="BN83" t="s">
        <v>142</v>
      </c>
      <c r="BR83" t="s">
        <v>131</v>
      </c>
      <c r="BU83" t="s">
        <v>707</v>
      </c>
      <c r="BV83" t="s">
        <v>593</v>
      </c>
      <c r="BW83" t="s">
        <v>568</v>
      </c>
      <c r="BX83" t="s">
        <v>569</v>
      </c>
      <c r="BY83" t="s">
        <v>126</v>
      </c>
      <c r="BZ83">
        <v>540</v>
      </c>
      <c r="CA83" t="s">
        <v>921</v>
      </c>
      <c r="CB83" t="s">
        <v>922</v>
      </c>
      <c r="CC83">
        <v>94977</v>
      </c>
      <c r="CD83" t="s">
        <v>171</v>
      </c>
      <c r="CE83" t="s">
        <v>923</v>
      </c>
      <c r="CF83" t="s">
        <v>153</v>
      </c>
      <c r="CI83" t="str">
        <f>"0"</f>
        <v>0</v>
      </c>
      <c r="CL83" t="s">
        <v>136</v>
      </c>
      <c r="CN83" t="s">
        <v>132</v>
      </c>
      <c r="CO83" t="s">
        <v>118</v>
      </c>
    </row>
    <row r="84" spans="1:93" x14ac:dyDescent="0.3">
      <c r="A84">
        <v>2878798</v>
      </c>
      <c r="B84">
        <v>558956</v>
      </c>
      <c r="C84" t="str">
        <f>"940815402287"</f>
        <v>940815402287</v>
      </c>
      <c r="D84" t="s">
        <v>924</v>
      </c>
      <c r="E84" t="s">
        <v>735</v>
      </c>
      <c r="F84" t="s">
        <v>925</v>
      </c>
      <c r="G84" s="1">
        <v>34561</v>
      </c>
      <c r="I84" t="s">
        <v>106</v>
      </c>
      <c r="J84" t="s">
        <v>107</v>
      </c>
      <c r="K84" t="s">
        <v>108</v>
      </c>
      <c r="P84" t="s">
        <v>109</v>
      </c>
      <c r="Q84" t="s">
        <v>136</v>
      </c>
      <c r="W84" t="str">
        <f t="shared" si="7"/>
        <v>2023-09-01T00:00:00</v>
      </c>
      <c r="X84" t="str">
        <f>"208"</f>
        <v>208</v>
      </c>
      <c r="Z84" t="s">
        <v>110</v>
      </c>
      <c r="AA84" t="s">
        <v>111</v>
      </c>
      <c r="AE84" t="s">
        <v>138</v>
      </c>
      <c r="AF84" t="s">
        <v>459</v>
      </c>
      <c r="AG84">
        <v>1</v>
      </c>
      <c r="AH84" t="s">
        <v>114</v>
      </c>
      <c r="AI84" t="s">
        <v>115</v>
      </c>
      <c r="AJ84" t="s">
        <v>116</v>
      </c>
      <c r="AN84" t="s">
        <v>117</v>
      </c>
      <c r="AO84" t="s">
        <v>118</v>
      </c>
      <c r="AP84" t="str">
        <f>"3"</f>
        <v>3</v>
      </c>
      <c r="AQ84" t="str">
        <f>"3"</f>
        <v>3</v>
      </c>
      <c r="AR84" t="str">
        <f>"3"</f>
        <v>3</v>
      </c>
      <c r="AS84" t="str">
        <f>"3"</f>
        <v>3</v>
      </c>
      <c r="AT84" t="str">
        <f t="shared" si="6"/>
        <v>0</v>
      </c>
      <c r="AU84" t="str">
        <f>"bigeldieva@mail.ru"</f>
        <v>bigeldieva@mail.ru</v>
      </c>
      <c r="AV84" t="str">
        <f>"87471574180"</f>
        <v>87471574180</v>
      </c>
      <c r="AW84" t="s">
        <v>119</v>
      </c>
      <c r="AZ84" t="s">
        <v>189</v>
      </c>
      <c r="BH84" t="s">
        <v>176</v>
      </c>
      <c r="BI84">
        <v>0.5</v>
      </c>
      <c r="BJ84" t="s">
        <v>119</v>
      </c>
      <c r="BN84" t="s">
        <v>142</v>
      </c>
      <c r="BR84" t="s">
        <v>131</v>
      </c>
      <c r="BU84" t="s">
        <v>588</v>
      </c>
      <c r="CD84" t="s">
        <v>171</v>
      </c>
      <c r="CI84" t="str">
        <f>"0"</f>
        <v>0</v>
      </c>
      <c r="CL84" t="s">
        <v>131</v>
      </c>
      <c r="CN84" t="s">
        <v>132</v>
      </c>
      <c r="CO84" t="s">
        <v>118</v>
      </c>
    </row>
    <row r="85" spans="1:93" x14ac:dyDescent="0.3">
      <c r="A85">
        <v>2878799</v>
      </c>
      <c r="B85">
        <v>144481</v>
      </c>
      <c r="C85" t="str">
        <f>"900424451381"</f>
        <v>900424451381</v>
      </c>
      <c r="D85" t="s">
        <v>926</v>
      </c>
      <c r="E85" t="s">
        <v>927</v>
      </c>
      <c r="F85" t="s">
        <v>928</v>
      </c>
      <c r="G85" s="1">
        <v>32987</v>
      </c>
      <c r="I85" t="s">
        <v>106</v>
      </c>
      <c r="J85" t="s">
        <v>107</v>
      </c>
      <c r="K85" t="s">
        <v>108</v>
      </c>
      <c r="P85" t="s">
        <v>109</v>
      </c>
      <c r="Q85" t="s">
        <v>136</v>
      </c>
      <c r="W85" t="str">
        <f t="shared" si="7"/>
        <v>2023-09-01T00:00:00</v>
      </c>
      <c r="X85" t="str">
        <f>"207"</f>
        <v>207</v>
      </c>
      <c r="Z85" t="s">
        <v>110</v>
      </c>
      <c r="AA85" t="s">
        <v>111</v>
      </c>
      <c r="AE85" t="s">
        <v>138</v>
      </c>
      <c r="AF85" t="s">
        <v>113</v>
      </c>
      <c r="AG85">
        <v>1.4</v>
      </c>
      <c r="AH85" t="s">
        <v>114</v>
      </c>
      <c r="AI85" t="s">
        <v>115</v>
      </c>
      <c r="AJ85" t="s">
        <v>116</v>
      </c>
      <c r="AN85" t="s">
        <v>117</v>
      </c>
      <c r="AO85" t="s">
        <v>118</v>
      </c>
      <c r="AP85" t="str">
        <f>"8"</f>
        <v>8</v>
      </c>
      <c r="AQ85" t="str">
        <f>"8"</f>
        <v>8</v>
      </c>
      <c r="AR85" t="str">
        <f>"8"</f>
        <v>8</v>
      </c>
      <c r="AS85" t="str">
        <f>"8"</f>
        <v>8</v>
      </c>
      <c r="AT85" t="str">
        <f t="shared" si="6"/>
        <v>0</v>
      </c>
      <c r="AU85" t="str">
        <f>"kappasova_17@mail.ru"</f>
        <v>kappasova_17@mail.ru</v>
      </c>
      <c r="AV85" t="str">
        <f>"87761416497"</f>
        <v>87761416497</v>
      </c>
      <c r="AW85" t="s">
        <v>139</v>
      </c>
      <c r="AX85" t="s">
        <v>140</v>
      </c>
      <c r="AZ85" t="s">
        <v>177</v>
      </c>
      <c r="BD85" t="s">
        <v>190</v>
      </c>
      <c r="BE85" t="s">
        <v>122</v>
      </c>
      <c r="BF85">
        <v>1.4</v>
      </c>
      <c r="BG85" t="str">
        <f>"[22]"</f>
        <v>[22]</v>
      </c>
      <c r="BH85" t="s">
        <v>118</v>
      </c>
      <c r="BI85">
        <v>0</v>
      </c>
      <c r="BN85" t="s">
        <v>142</v>
      </c>
      <c r="BR85" t="s">
        <v>131</v>
      </c>
      <c r="BU85" t="s">
        <v>666</v>
      </c>
      <c r="BV85" t="s">
        <v>190</v>
      </c>
      <c r="BW85" t="s">
        <v>667</v>
      </c>
      <c r="BX85" t="s">
        <v>569</v>
      </c>
      <c r="BY85" t="s">
        <v>929</v>
      </c>
      <c r="BZ85">
        <v>160</v>
      </c>
      <c r="CA85" t="s">
        <v>930</v>
      </c>
      <c r="CB85" t="s">
        <v>931</v>
      </c>
      <c r="CC85">
        <v>0</v>
      </c>
      <c r="CD85" t="s">
        <v>171</v>
      </c>
      <c r="CE85" t="s">
        <v>932</v>
      </c>
      <c r="CF85" t="s">
        <v>153</v>
      </c>
      <c r="CI85" t="str">
        <f>"0"</f>
        <v>0</v>
      </c>
      <c r="CL85" t="s">
        <v>131</v>
      </c>
      <c r="CN85" t="s">
        <v>201</v>
      </c>
      <c r="CO85" t="s">
        <v>118</v>
      </c>
    </row>
    <row r="86" spans="1:93" x14ac:dyDescent="0.3">
      <c r="A86">
        <v>2878800</v>
      </c>
      <c r="B86">
        <v>1803773</v>
      </c>
      <c r="C86" t="str">
        <f>"030601650791"</f>
        <v>030601650791</v>
      </c>
      <c r="D86" t="s">
        <v>933</v>
      </c>
      <c r="E86" t="s">
        <v>934</v>
      </c>
      <c r="F86" t="s">
        <v>458</v>
      </c>
      <c r="G86" s="1">
        <v>37773</v>
      </c>
      <c r="I86" t="s">
        <v>106</v>
      </c>
      <c r="J86" t="s">
        <v>107</v>
      </c>
      <c r="K86" t="s">
        <v>273</v>
      </c>
      <c r="P86" t="s">
        <v>109</v>
      </c>
      <c r="Q86" t="s">
        <v>136</v>
      </c>
      <c r="W86" t="str">
        <f>"2023-10-02T00:00:00"</f>
        <v>2023-10-02T00:00:00</v>
      </c>
      <c r="X86" t="str">
        <f>"245"</f>
        <v>245</v>
      </c>
      <c r="Z86" t="s">
        <v>110</v>
      </c>
      <c r="AA86" t="s">
        <v>111</v>
      </c>
      <c r="AE86" t="s">
        <v>138</v>
      </c>
      <c r="AF86" t="s">
        <v>207</v>
      </c>
      <c r="AG86">
        <v>1.4</v>
      </c>
      <c r="AH86" t="s">
        <v>114</v>
      </c>
      <c r="AI86" t="s">
        <v>115</v>
      </c>
      <c r="AJ86" t="s">
        <v>208</v>
      </c>
      <c r="AN86" t="s">
        <v>117</v>
      </c>
      <c r="AO86" t="s">
        <v>118</v>
      </c>
      <c r="AP86" t="str">
        <f t="shared" ref="AP86:AS87" si="9">"0"</f>
        <v>0</v>
      </c>
      <c r="AQ86" t="str">
        <f t="shared" si="9"/>
        <v>0</v>
      </c>
      <c r="AR86" t="str">
        <f t="shared" si="9"/>
        <v>0</v>
      </c>
      <c r="AS86" t="str">
        <f t="shared" si="9"/>
        <v>0</v>
      </c>
      <c r="AT86" t="str">
        <f t="shared" si="6"/>
        <v>0</v>
      </c>
      <c r="AU86" t="str">
        <f>"solavahyuk_anna2374@mail.ru"</f>
        <v>solavahyuk_anna2374@mail.ru</v>
      </c>
      <c r="AV86" t="str">
        <f>"87776451162"</f>
        <v>87776451162</v>
      </c>
      <c r="AW86" t="s">
        <v>119</v>
      </c>
      <c r="AZ86" t="s">
        <v>211</v>
      </c>
      <c r="BD86" t="s">
        <v>212</v>
      </c>
      <c r="BE86" t="s">
        <v>213</v>
      </c>
      <c r="BF86">
        <v>1.4</v>
      </c>
      <c r="BG86" t="str">
        <f>"[21]"</f>
        <v>[21]</v>
      </c>
      <c r="BH86" t="s">
        <v>118</v>
      </c>
      <c r="BI86">
        <v>0</v>
      </c>
      <c r="BN86" t="s">
        <v>142</v>
      </c>
      <c r="BR86" t="s">
        <v>131</v>
      </c>
      <c r="BU86" t="s">
        <v>588</v>
      </c>
      <c r="CD86" t="s">
        <v>171</v>
      </c>
      <c r="CE86" t="s">
        <v>338</v>
      </c>
      <c r="CF86" s="2">
        <v>45383</v>
      </c>
      <c r="CI86" t="str">
        <f>"0"</f>
        <v>0</v>
      </c>
      <c r="CL86" t="s">
        <v>131</v>
      </c>
      <c r="CN86" t="s">
        <v>132</v>
      </c>
      <c r="CO86" t="s">
        <v>118</v>
      </c>
    </row>
    <row r="87" spans="1:93" x14ac:dyDescent="0.3">
      <c r="A87">
        <v>2878801</v>
      </c>
      <c r="B87">
        <v>1803774</v>
      </c>
      <c r="C87" t="str">
        <f>"010807650936"</f>
        <v>010807650936</v>
      </c>
      <c r="D87" t="s">
        <v>935</v>
      </c>
      <c r="E87" t="s">
        <v>936</v>
      </c>
      <c r="F87" t="s">
        <v>433</v>
      </c>
      <c r="G87" s="1">
        <v>37110</v>
      </c>
      <c r="I87" t="s">
        <v>106</v>
      </c>
      <c r="J87" t="s">
        <v>107</v>
      </c>
      <c r="K87" t="s">
        <v>205</v>
      </c>
      <c r="P87" t="s">
        <v>109</v>
      </c>
      <c r="Q87" t="s">
        <v>136</v>
      </c>
      <c r="W87" t="str">
        <f>"2023-09-01T00:00:00"</f>
        <v>2023-09-01T00:00:00</v>
      </c>
      <c r="X87" t="str">
        <f>"223"</f>
        <v>223</v>
      </c>
      <c r="Z87" t="s">
        <v>110</v>
      </c>
      <c r="AA87" t="s">
        <v>111</v>
      </c>
      <c r="AE87" t="s">
        <v>138</v>
      </c>
      <c r="AF87" t="s">
        <v>113</v>
      </c>
      <c r="AG87">
        <v>1.1000000000000001</v>
      </c>
      <c r="AH87" t="s">
        <v>114</v>
      </c>
      <c r="AI87" t="s">
        <v>115</v>
      </c>
      <c r="AJ87" t="s">
        <v>116</v>
      </c>
      <c r="AN87" t="s">
        <v>117</v>
      </c>
      <c r="AO87" t="s">
        <v>118</v>
      </c>
      <c r="AP87" t="str">
        <f t="shared" si="9"/>
        <v>0</v>
      </c>
      <c r="AQ87" t="str">
        <f t="shared" si="9"/>
        <v>0</v>
      </c>
      <c r="AR87" t="str">
        <f t="shared" si="9"/>
        <v>0</v>
      </c>
      <c r="AS87" t="str">
        <f t="shared" si="9"/>
        <v>0</v>
      </c>
      <c r="AT87" t="str">
        <f t="shared" si="6"/>
        <v>0</v>
      </c>
      <c r="AU87" t="str">
        <f>"nastya07a2001@gmail.com"</f>
        <v>nastya07a2001@gmail.com</v>
      </c>
      <c r="AV87" t="str">
        <f>"87715935479"</f>
        <v>87715935479</v>
      </c>
      <c r="AW87" t="s">
        <v>119</v>
      </c>
      <c r="AZ87" t="s">
        <v>211</v>
      </c>
      <c r="BD87" t="s">
        <v>593</v>
      </c>
      <c r="BE87" t="s">
        <v>122</v>
      </c>
      <c r="BF87">
        <v>1.1000000000000001</v>
      </c>
      <c r="BG87" t="str">
        <f>"[18]"</f>
        <v>[18]</v>
      </c>
      <c r="BH87" t="s">
        <v>937</v>
      </c>
      <c r="BI87">
        <v>1</v>
      </c>
      <c r="BJ87" t="s">
        <v>119</v>
      </c>
      <c r="BN87" t="s">
        <v>142</v>
      </c>
      <c r="BR87" t="s">
        <v>131</v>
      </c>
      <c r="BU87" t="s">
        <v>123</v>
      </c>
      <c r="BV87" t="s">
        <v>938</v>
      </c>
      <c r="BW87" t="s">
        <v>939</v>
      </c>
      <c r="BX87" t="s">
        <v>125</v>
      </c>
      <c r="BY87" t="s">
        <v>570</v>
      </c>
      <c r="BZ87">
        <v>10</v>
      </c>
      <c r="CA87" t="s">
        <v>940</v>
      </c>
      <c r="CB87" t="s">
        <v>941</v>
      </c>
      <c r="CC87">
        <v>638454</v>
      </c>
      <c r="CD87" t="s">
        <v>171</v>
      </c>
      <c r="CE87" t="s">
        <v>942</v>
      </c>
      <c r="CF87" t="s">
        <v>153</v>
      </c>
      <c r="CI87" t="str">
        <f>"0"</f>
        <v>0</v>
      </c>
      <c r="CL87" t="s">
        <v>131</v>
      </c>
      <c r="CN87" t="s">
        <v>132</v>
      </c>
      <c r="CO87" t="s">
        <v>118</v>
      </c>
    </row>
    <row r="88" spans="1:93" hidden="1" x14ac:dyDescent="0.3">
      <c r="A88">
        <v>2879008</v>
      </c>
      <c r="B88">
        <v>1311749</v>
      </c>
      <c r="C88" t="str">
        <f>"701223400870"</f>
        <v>701223400870</v>
      </c>
      <c r="D88" t="s">
        <v>943</v>
      </c>
      <c r="E88" t="s">
        <v>944</v>
      </c>
      <c r="F88" t="s">
        <v>945</v>
      </c>
      <c r="G88" s="1">
        <v>25925</v>
      </c>
      <c r="I88" t="s">
        <v>106</v>
      </c>
      <c r="J88" t="s">
        <v>107</v>
      </c>
      <c r="K88" t="s">
        <v>108</v>
      </c>
      <c r="P88" t="s">
        <v>109</v>
      </c>
      <c r="Q88" t="s">
        <v>136</v>
      </c>
      <c r="W88" t="str">
        <f>"2023-09-01T00:00:00"</f>
        <v>2023-09-01T00:00:00</v>
      </c>
      <c r="X88" t="str">
        <f>"210"</f>
        <v>210</v>
      </c>
      <c r="Z88" t="s">
        <v>110</v>
      </c>
      <c r="AA88" t="s">
        <v>111</v>
      </c>
      <c r="AE88" t="s">
        <v>138</v>
      </c>
      <c r="AF88" t="s">
        <v>484</v>
      </c>
      <c r="AG88">
        <v>1.5</v>
      </c>
      <c r="AH88" t="s">
        <v>114</v>
      </c>
      <c r="AI88" t="s">
        <v>115</v>
      </c>
      <c r="AJ88" t="s">
        <v>485</v>
      </c>
      <c r="AN88" t="s">
        <v>486</v>
      </c>
      <c r="AP88" t="str">
        <f>"20"</f>
        <v>20</v>
      </c>
      <c r="AQ88" t="str">
        <f>"20"</f>
        <v>20</v>
      </c>
      <c r="AS88" t="str">
        <f>"0"</f>
        <v>0</v>
      </c>
      <c r="AT88" t="str">
        <f t="shared" si="6"/>
        <v>0</v>
      </c>
      <c r="BH88" t="s">
        <v>118</v>
      </c>
      <c r="BI88">
        <v>0</v>
      </c>
    </row>
    <row r="89" spans="1:93" x14ac:dyDescent="0.3">
      <c r="A89">
        <v>2879171</v>
      </c>
      <c r="B89">
        <v>1803866</v>
      </c>
      <c r="C89" t="str">
        <f>"001005650858"</f>
        <v>001005650858</v>
      </c>
      <c r="D89" t="s">
        <v>946</v>
      </c>
      <c r="E89" t="s">
        <v>947</v>
      </c>
      <c r="F89" t="s">
        <v>948</v>
      </c>
      <c r="G89" s="1">
        <v>36804</v>
      </c>
      <c r="I89" t="s">
        <v>106</v>
      </c>
      <c r="J89" t="s">
        <v>107</v>
      </c>
      <c r="K89" t="s">
        <v>108</v>
      </c>
      <c r="P89" t="s">
        <v>109</v>
      </c>
      <c r="Q89" t="s">
        <v>136</v>
      </c>
      <c r="W89" t="str">
        <f>"2023-09-01T00:00:00"</f>
        <v>2023-09-01T00:00:00</v>
      </c>
      <c r="X89" t="str">
        <f>"209"</f>
        <v>209</v>
      </c>
      <c r="Z89" t="s">
        <v>110</v>
      </c>
      <c r="AA89" t="s">
        <v>111</v>
      </c>
      <c r="AE89" t="s">
        <v>138</v>
      </c>
      <c r="AF89" t="s">
        <v>176</v>
      </c>
      <c r="AG89">
        <v>1</v>
      </c>
      <c r="AH89" t="s">
        <v>114</v>
      </c>
      <c r="AI89" t="s">
        <v>115</v>
      </c>
      <c r="AJ89" t="s">
        <v>116</v>
      </c>
      <c r="AN89" t="s">
        <v>117</v>
      </c>
      <c r="AO89" t="s">
        <v>118</v>
      </c>
      <c r="AP89" t="str">
        <f>"0"</f>
        <v>0</v>
      </c>
      <c r="AQ89" t="str">
        <f>"0"</f>
        <v>0</v>
      </c>
      <c r="AR89" t="str">
        <f>"0"</f>
        <v>0</v>
      </c>
      <c r="AS89" t="str">
        <f>"0"</f>
        <v>0</v>
      </c>
      <c r="AT89" t="str">
        <f t="shared" si="6"/>
        <v>0</v>
      </c>
      <c r="AU89" t="str">
        <f>"dalmira@mail.ru"</f>
        <v>dalmira@mail.ru</v>
      </c>
      <c r="AV89" t="str">
        <f>"87711145475"</f>
        <v>87711145475</v>
      </c>
      <c r="AW89" t="s">
        <v>119</v>
      </c>
      <c r="AZ89" t="s">
        <v>120</v>
      </c>
      <c r="BH89" t="s">
        <v>113</v>
      </c>
      <c r="BI89">
        <v>0.2</v>
      </c>
      <c r="BJ89" t="s">
        <v>119</v>
      </c>
      <c r="BL89" t="s">
        <v>434</v>
      </c>
      <c r="BM89">
        <v>0.2</v>
      </c>
      <c r="BN89" t="s">
        <v>142</v>
      </c>
      <c r="BR89" t="s">
        <v>131</v>
      </c>
      <c r="BU89" t="s">
        <v>588</v>
      </c>
      <c r="CD89" t="s">
        <v>171</v>
      </c>
      <c r="CE89" t="s">
        <v>949</v>
      </c>
      <c r="CF89" s="2">
        <v>45383</v>
      </c>
      <c r="CI89" t="str">
        <f>"0"</f>
        <v>0</v>
      </c>
      <c r="CL89" t="s">
        <v>136</v>
      </c>
      <c r="CN89" t="s">
        <v>132</v>
      </c>
      <c r="CO89" t="s">
        <v>244</v>
      </c>
    </row>
    <row r="90" spans="1:93" x14ac:dyDescent="0.3">
      <c r="A90">
        <v>2879232</v>
      </c>
      <c r="B90">
        <v>135175</v>
      </c>
      <c r="C90" t="str">
        <f>"820411450593"</f>
        <v>820411450593</v>
      </c>
      <c r="D90" t="s">
        <v>950</v>
      </c>
      <c r="E90" t="s">
        <v>739</v>
      </c>
      <c r="F90" t="s">
        <v>951</v>
      </c>
      <c r="G90" s="1">
        <v>30052</v>
      </c>
      <c r="I90" t="s">
        <v>106</v>
      </c>
      <c r="J90" t="s">
        <v>107</v>
      </c>
      <c r="K90" t="s">
        <v>108</v>
      </c>
      <c r="P90" t="s">
        <v>109</v>
      </c>
      <c r="Q90" t="s">
        <v>136</v>
      </c>
      <c r="W90" t="str">
        <f>"2023-09-01T00:00:00"</f>
        <v>2023-09-01T00:00:00</v>
      </c>
      <c r="X90" t="str">
        <f>"213"</f>
        <v>213</v>
      </c>
      <c r="Z90" t="s">
        <v>110</v>
      </c>
      <c r="AA90" t="s">
        <v>111</v>
      </c>
      <c r="AE90" t="s">
        <v>138</v>
      </c>
      <c r="AF90" t="s">
        <v>113</v>
      </c>
      <c r="AG90">
        <v>1.5</v>
      </c>
      <c r="AH90" t="s">
        <v>114</v>
      </c>
      <c r="AI90" t="s">
        <v>115</v>
      </c>
      <c r="AJ90" t="s">
        <v>116</v>
      </c>
      <c r="AN90" t="s">
        <v>117</v>
      </c>
      <c r="AO90" t="s">
        <v>118</v>
      </c>
      <c r="AP90" t="str">
        <f>"19"</f>
        <v>19</v>
      </c>
      <c r="AQ90" t="str">
        <f>"19"</f>
        <v>19</v>
      </c>
      <c r="AR90" t="str">
        <f>"19"</f>
        <v>19</v>
      </c>
      <c r="AS90" t="str">
        <f>"19"</f>
        <v>19</v>
      </c>
      <c r="AT90" t="str">
        <f t="shared" si="6"/>
        <v>0</v>
      </c>
      <c r="AU90" t="str">
        <f>"muhamejarovasandugash@yandex.kz"</f>
        <v>muhamejarovasandugash@yandex.kz</v>
      </c>
      <c r="AV90" t="str">
        <f>"87711161182"</f>
        <v>87711161182</v>
      </c>
      <c r="AW90" t="s">
        <v>139</v>
      </c>
      <c r="AX90" t="s">
        <v>160</v>
      </c>
      <c r="AZ90" t="s">
        <v>120</v>
      </c>
      <c r="BD90" t="s">
        <v>567</v>
      </c>
      <c r="BE90" t="s">
        <v>122</v>
      </c>
      <c r="BF90">
        <v>1.5</v>
      </c>
      <c r="BG90" t="str">
        <f>"[24]"</f>
        <v>[24]</v>
      </c>
      <c r="BH90" t="s">
        <v>118</v>
      </c>
      <c r="BI90">
        <v>0</v>
      </c>
      <c r="BN90" t="s">
        <v>142</v>
      </c>
      <c r="BR90" t="s">
        <v>131</v>
      </c>
      <c r="BU90" t="s">
        <v>123</v>
      </c>
      <c r="BV90" t="s">
        <v>567</v>
      </c>
      <c r="BW90" t="s">
        <v>708</v>
      </c>
      <c r="BX90" t="s">
        <v>569</v>
      </c>
      <c r="BY90" t="s">
        <v>570</v>
      </c>
      <c r="BZ90">
        <v>40</v>
      </c>
      <c r="CA90" t="s">
        <v>952</v>
      </c>
      <c r="CB90" t="s">
        <v>953</v>
      </c>
      <c r="CC90" t="s">
        <v>954</v>
      </c>
      <c r="CD90" t="s">
        <v>171</v>
      </c>
      <c r="CE90" t="s">
        <v>955</v>
      </c>
      <c r="CF90" s="2">
        <v>45383</v>
      </c>
      <c r="CI90" t="str">
        <f>"0"</f>
        <v>0</v>
      </c>
      <c r="CL90" t="s">
        <v>131</v>
      </c>
      <c r="CN90" t="s">
        <v>132</v>
      </c>
      <c r="CO90" t="s">
        <v>118</v>
      </c>
    </row>
    <row r="91" spans="1:93" x14ac:dyDescent="0.3">
      <c r="A91">
        <v>2928300</v>
      </c>
      <c r="B91">
        <v>1297563</v>
      </c>
      <c r="C91" t="str">
        <f>"790703402463"</f>
        <v>790703402463</v>
      </c>
      <c r="D91" t="s">
        <v>956</v>
      </c>
      <c r="E91" t="s">
        <v>957</v>
      </c>
      <c r="F91" t="s">
        <v>527</v>
      </c>
      <c r="G91" s="1">
        <v>29039</v>
      </c>
      <c r="I91" t="s">
        <v>106</v>
      </c>
      <c r="J91" t="s">
        <v>107</v>
      </c>
      <c r="K91" t="s">
        <v>205</v>
      </c>
      <c r="P91" t="s">
        <v>109</v>
      </c>
      <c r="Q91" t="s">
        <v>136</v>
      </c>
      <c r="W91" t="str">
        <f>"2023-11-06T00:00:00"</f>
        <v>2023-11-06T00:00:00</v>
      </c>
      <c r="X91" t="str">
        <f>"256/2"</f>
        <v>256/2</v>
      </c>
      <c r="Z91" t="s">
        <v>110</v>
      </c>
      <c r="AA91" t="s">
        <v>111</v>
      </c>
      <c r="AE91" t="s">
        <v>138</v>
      </c>
      <c r="AF91" t="s">
        <v>958</v>
      </c>
      <c r="AG91">
        <v>0.5</v>
      </c>
      <c r="AH91" t="s">
        <v>774</v>
      </c>
      <c r="AI91" t="s">
        <v>115</v>
      </c>
      <c r="AJ91" t="s">
        <v>116</v>
      </c>
      <c r="AN91" t="s">
        <v>117</v>
      </c>
      <c r="AO91" t="s">
        <v>158</v>
      </c>
      <c r="AP91" t="str">
        <f>"5"</f>
        <v>5</v>
      </c>
      <c r="AQ91" t="str">
        <f>"5"</f>
        <v>5</v>
      </c>
      <c r="AR91" t="str">
        <f>"5"</f>
        <v>5</v>
      </c>
      <c r="AS91" t="str">
        <f>"5"</f>
        <v>5</v>
      </c>
      <c r="AT91" t="str">
        <f t="shared" si="6"/>
        <v>0</v>
      </c>
      <c r="AU91" t="str">
        <f>"eva.alimbaeva79@bk.ru"</f>
        <v>eva.alimbaeva79@bk.ru</v>
      </c>
      <c r="AV91" t="str">
        <f>"87712565784"</f>
        <v>87712565784</v>
      </c>
      <c r="AW91" t="s">
        <v>139</v>
      </c>
      <c r="AX91" t="s">
        <v>140</v>
      </c>
      <c r="AZ91" t="s">
        <v>211</v>
      </c>
      <c r="BH91" t="s">
        <v>118</v>
      </c>
      <c r="BI91">
        <v>0</v>
      </c>
      <c r="BN91" t="s">
        <v>161</v>
      </c>
      <c r="BR91" t="s">
        <v>131</v>
      </c>
      <c r="BS91" t="s">
        <v>554</v>
      </c>
      <c r="BU91" t="s">
        <v>959</v>
      </c>
      <c r="BV91" t="s">
        <v>910</v>
      </c>
      <c r="BW91" t="s">
        <v>960</v>
      </c>
      <c r="BX91" t="s">
        <v>292</v>
      </c>
      <c r="BY91" t="s">
        <v>293</v>
      </c>
      <c r="BZ91" t="s">
        <v>961</v>
      </c>
      <c r="CA91" t="s">
        <v>962</v>
      </c>
      <c r="CB91" t="s">
        <v>963</v>
      </c>
      <c r="CC91" t="s">
        <v>964</v>
      </c>
      <c r="CD91" t="s">
        <v>171</v>
      </c>
      <c r="CL91" t="s">
        <v>136</v>
      </c>
      <c r="CN91" t="s">
        <v>132</v>
      </c>
      <c r="CO91" t="s">
        <v>917</v>
      </c>
    </row>
    <row r="92" spans="1:93" hidden="1" x14ac:dyDescent="0.3">
      <c r="A92">
        <v>2928342</v>
      </c>
      <c r="B92">
        <v>165799</v>
      </c>
      <c r="C92" t="str">
        <f>"881007450421"</f>
        <v>881007450421</v>
      </c>
      <c r="D92" t="s">
        <v>965</v>
      </c>
      <c r="E92" t="s">
        <v>966</v>
      </c>
      <c r="F92" t="s">
        <v>204</v>
      </c>
      <c r="G92" s="1">
        <v>32423</v>
      </c>
      <c r="I92" t="s">
        <v>106</v>
      </c>
      <c r="J92" t="s">
        <v>107</v>
      </c>
      <c r="K92" t="s">
        <v>205</v>
      </c>
      <c r="P92" t="s">
        <v>109</v>
      </c>
      <c r="Q92" t="s">
        <v>136</v>
      </c>
      <c r="W92" t="str">
        <f>"2023-11-08T00:00:00"</f>
        <v>2023-11-08T00:00:00</v>
      </c>
      <c r="X92" t="str">
        <f>"258"</f>
        <v>258</v>
      </c>
      <c r="Z92" t="s">
        <v>110</v>
      </c>
      <c r="AA92" t="s">
        <v>111</v>
      </c>
      <c r="AE92" t="s">
        <v>138</v>
      </c>
      <c r="AF92" t="s">
        <v>484</v>
      </c>
      <c r="AG92">
        <v>1.5</v>
      </c>
      <c r="AH92" t="s">
        <v>114</v>
      </c>
      <c r="AI92" t="s">
        <v>115</v>
      </c>
      <c r="AJ92" t="s">
        <v>490</v>
      </c>
      <c r="AN92" t="s">
        <v>486</v>
      </c>
      <c r="AP92" t="str">
        <f>"3"</f>
        <v>3</v>
      </c>
      <c r="AQ92" t="str">
        <f>"3"</f>
        <v>3</v>
      </c>
      <c r="AS92" t="str">
        <f>"0"</f>
        <v>0</v>
      </c>
      <c r="AT92" t="str">
        <f t="shared" si="6"/>
        <v>0</v>
      </c>
      <c r="AU92" t="str">
        <f>"stepnogorskddt@mail.ru"</f>
        <v>stepnogorskddt@mail.ru</v>
      </c>
      <c r="AV92" t="str">
        <f>"8 702 123 31 81"</f>
        <v>8 702 123 31 81</v>
      </c>
      <c r="BH92" t="s">
        <v>118</v>
      </c>
      <c r="BI92">
        <v>0</v>
      </c>
      <c r="BU92" t="s">
        <v>967</v>
      </c>
      <c r="BV92" t="s">
        <v>171</v>
      </c>
    </row>
    <row r="93" spans="1:93" hidden="1" x14ac:dyDescent="0.3">
      <c r="A93">
        <v>2928358</v>
      </c>
      <c r="B93">
        <v>1821815</v>
      </c>
      <c r="C93" t="str">
        <f>"011229650888"</f>
        <v>011229650888</v>
      </c>
      <c r="D93" t="s">
        <v>700</v>
      </c>
      <c r="E93" t="s">
        <v>968</v>
      </c>
      <c r="F93" t="s">
        <v>969</v>
      </c>
      <c r="G93" s="1">
        <v>37254</v>
      </c>
      <c r="I93" t="s">
        <v>106</v>
      </c>
      <c r="J93" t="s">
        <v>107</v>
      </c>
      <c r="K93" t="s">
        <v>108</v>
      </c>
      <c r="P93" t="s">
        <v>109</v>
      </c>
      <c r="Q93" t="s">
        <v>136</v>
      </c>
      <c r="W93" t="str">
        <f>"2023-11-01T00:00:00"</f>
        <v>2023-11-01T00:00:00</v>
      </c>
      <c r="X93" t="str">
        <f>"254"</f>
        <v>254</v>
      </c>
      <c r="Z93" t="s">
        <v>110</v>
      </c>
      <c r="AA93" t="s">
        <v>111</v>
      </c>
      <c r="AE93" t="s">
        <v>138</v>
      </c>
      <c r="AF93" t="s">
        <v>780</v>
      </c>
      <c r="AG93">
        <v>0.5</v>
      </c>
      <c r="AH93" t="s">
        <v>114</v>
      </c>
      <c r="AI93" t="s">
        <v>115</v>
      </c>
      <c r="AJ93" t="s">
        <v>485</v>
      </c>
      <c r="AN93" t="s">
        <v>486</v>
      </c>
      <c r="AP93" t="str">
        <f>"2"</f>
        <v>2</v>
      </c>
      <c r="AQ93" t="str">
        <f>"2"</f>
        <v>2</v>
      </c>
      <c r="AS93" t="str">
        <f>"0"</f>
        <v>0</v>
      </c>
      <c r="AT93" t="str">
        <f t="shared" si="6"/>
        <v>0</v>
      </c>
      <c r="BH93" t="s">
        <v>970</v>
      </c>
      <c r="BI93">
        <v>0.5</v>
      </c>
    </row>
    <row r="94" spans="1:93" hidden="1" x14ac:dyDescent="0.3">
      <c r="A94">
        <v>2974703</v>
      </c>
      <c r="B94">
        <v>1838336</v>
      </c>
      <c r="C94" t="str">
        <f>"650101400357"</f>
        <v>650101400357</v>
      </c>
      <c r="D94" t="s">
        <v>971</v>
      </c>
      <c r="E94" t="s">
        <v>972</v>
      </c>
      <c r="F94" t="s">
        <v>973</v>
      </c>
      <c r="G94" s="1">
        <v>23743</v>
      </c>
      <c r="I94" t="s">
        <v>106</v>
      </c>
      <c r="J94" t="s">
        <v>107</v>
      </c>
      <c r="K94" t="s">
        <v>108</v>
      </c>
      <c r="P94" t="s">
        <v>109</v>
      </c>
      <c r="Q94" t="s">
        <v>136</v>
      </c>
      <c r="W94" t="str">
        <f>"2024-01-08T00:00:00"</f>
        <v>2024-01-08T00:00:00</v>
      </c>
      <c r="X94" t="str">
        <f>"4"</f>
        <v>4</v>
      </c>
      <c r="Z94" t="s">
        <v>110</v>
      </c>
      <c r="AA94" t="s">
        <v>111</v>
      </c>
      <c r="AE94" t="s">
        <v>138</v>
      </c>
      <c r="AF94" t="s">
        <v>974</v>
      </c>
      <c r="AG94">
        <v>1</v>
      </c>
      <c r="AH94" t="s">
        <v>114</v>
      </c>
      <c r="AI94" t="s">
        <v>115</v>
      </c>
      <c r="AJ94" t="s">
        <v>775</v>
      </c>
      <c r="AN94" t="s">
        <v>486</v>
      </c>
      <c r="AP94" t="str">
        <f>"0"</f>
        <v>0</v>
      </c>
      <c r="AQ94" t="str">
        <f>"0"</f>
        <v>0</v>
      </c>
      <c r="AS94" t="str">
        <f>"0"</f>
        <v>0</v>
      </c>
      <c r="AT94" t="str">
        <f t="shared" si="6"/>
        <v>0</v>
      </c>
      <c r="BH94" t="s">
        <v>118</v>
      </c>
      <c r="BI94">
        <v>0</v>
      </c>
    </row>
    <row r="95" spans="1:93" hidden="1" x14ac:dyDescent="0.3">
      <c r="A95">
        <v>2974714</v>
      </c>
      <c r="B95">
        <v>1838339</v>
      </c>
      <c r="C95" t="str">
        <f>"790514401993"</f>
        <v>790514401993</v>
      </c>
      <c r="D95" t="s">
        <v>225</v>
      </c>
      <c r="E95" t="s">
        <v>724</v>
      </c>
      <c r="F95" t="s">
        <v>975</v>
      </c>
      <c r="G95" s="1">
        <v>28989</v>
      </c>
      <c r="I95" t="s">
        <v>106</v>
      </c>
      <c r="J95" t="s">
        <v>107</v>
      </c>
      <c r="K95" t="s">
        <v>108</v>
      </c>
      <c r="P95" t="s">
        <v>976</v>
      </c>
      <c r="Q95" t="s">
        <v>136</v>
      </c>
      <c r="W95" t="str">
        <f>"2024-01-03T00:00:00"</f>
        <v>2024-01-03T00:00:00</v>
      </c>
      <c r="X95" t="str">
        <f>"1"</f>
        <v>1</v>
      </c>
      <c r="Z95" t="s">
        <v>110</v>
      </c>
      <c r="AA95" t="s">
        <v>111</v>
      </c>
      <c r="AE95" t="s">
        <v>138</v>
      </c>
      <c r="AF95" t="s">
        <v>977</v>
      </c>
      <c r="AG95">
        <v>1</v>
      </c>
      <c r="AH95" t="s">
        <v>114</v>
      </c>
      <c r="AI95" t="s">
        <v>115</v>
      </c>
      <c r="AJ95" t="s">
        <v>485</v>
      </c>
      <c r="AN95" t="s">
        <v>486</v>
      </c>
      <c r="AP95" t="str">
        <f>"0"</f>
        <v>0</v>
      </c>
      <c r="AQ95" t="str">
        <f>"0"</f>
        <v>0</v>
      </c>
      <c r="AS95" t="str">
        <f>"0"</f>
        <v>0</v>
      </c>
      <c r="AT95" t="str">
        <f t="shared" si="6"/>
        <v>0</v>
      </c>
      <c r="BH95" t="s">
        <v>118</v>
      </c>
      <c r="BI95">
        <v>0</v>
      </c>
    </row>
    <row r="96" spans="1:93" x14ac:dyDescent="0.3">
      <c r="A96">
        <v>2994994</v>
      </c>
      <c r="B96">
        <v>1845411</v>
      </c>
      <c r="C96" t="str">
        <f>"790705401783"</f>
        <v>790705401783</v>
      </c>
      <c r="D96" t="s">
        <v>978</v>
      </c>
      <c r="E96" t="s">
        <v>979</v>
      </c>
      <c r="F96" t="s">
        <v>980</v>
      </c>
      <c r="G96" s="1">
        <v>29041</v>
      </c>
      <c r="I96" t="s">
        <v>106</v>
      </c>
      <c r="J96" t="s">
        <v>107</v>
      </c>
      <c r="K96" t="s">
        <v>205</v>
      </c>
      <c r="P96" t="s">
        <v>109</v>
      </c>
      <c r="W96" t="str">
        <f>"2024-02-05T00:00:00"</f>
        <v>2024-02-05T00:00:00</v>
      </c>
      <c r="X96" t="str">
        <f>"9"</f>
        <v>9</v>
      </c>
      <c r="Z96" t="s">
        <v>137</v>
      </c>
      <c r="AA96" t="s">
        <v>111</v>
      </c>
      <c r="AE96" t="s">
        <v>138</v>
      </c>
      <c r="AF96" t="s">
        <v>207</v>
      </c>
      <c r="AG96">
        <v>1.2</v>
      </c>
      <c r="AH96" t="s">
        <v>114</v>
      </c>
      <c r="AI96" t="s">
        <v>115</v>
      </c>
      <c r="AJ96" t="s">
        <v>116</v>
      </c>
      <c r="AN96" t="s">
        <v>117</v>
      </c>
      <c r="AO96" t="s">
        <v>118</v>
      </c>
      <c r="AP96" t="str">
        <f>"5"</f>
        <v>5</v>
      </c>
      <c r="AQ96" t="str">
        <f>"5"</f>
        <v>5</v>
      </c>
      <c r="AR96" t="str">
        <f>"5"</f>
        <v>5</v>
      </c>
      <c r="AS96" t="str">
        <f>"5"</f>
        <v>5</v>
      </c>
      <c r="AT96" t="str">
        <f t="shared" si="6"/>
        <v>0</v>
      </c>
      <c r="AU96" t="str">
        <f>"Zlayatyt@mail.ru"</f>
        <v>Zlayatyt@mail.ru</v>
      </c>
      <c r="AV96" t="str">
        <f>"87013784992"</f>
        <v>87013784992</v>
      </c>
      <c r="AW96" t="s">
        <v>119</v>
      </c>
      <c r="AZ96" t="s">
        <v>211</v>
      </c>
      <c r="BD96" t="s">
        <v>212</v>
      </c>
      <c r="BE96" t="s">
        <v>122</v>
      </c>
      <c r="BF96">
        <v>1.2</v>
      </c>
      <c r="BG96" t="str">
        <f>"[19]"</f>
        <v>[19]</v>
      </c>
      <c r="BH96" t="s">
        <v>118</v>
      </c>
      <c r="BI96">
        <v>0</v>
      </c>
      <c r="BN96" t="s">
        <v>275</v>
      </c>
      <c r="BR96" t="s">
        <v>131</v>
      </c>
      <c r="BU96" t="s">
        <v>588</v>
      </c>
      <c r="CD96" t="s">
        <v>171</v>
      </c>
      <c r="CE96" t="s">
        <v>243</v>
      </c>
      <c r="CF96" s="2">
        <v>45383</v>
      </c>
      <c r="CI96" t="str">
        <f>"1"</f>
        <v>1</v>
      </c>
      <c r="CL96" t="s">
        <v>131</v>
      </c>
      <c r="CN96" t="s">
        <v>132</v>
      </c>
      <c r="CO96" t="s">
        <v>118</v>
      </c>
    </row>
    <row r="97" spans="1:93" hidden="1" x14ac:dyDescent="0.3">
      <c r="A97">
        <v>2994998</v>
      </c>
      <c r="B97">
        <v>1845413</v>
      </c>
      <c r="C97" t="str">
        <f>"830105050744"</f>
        <v>830105050744</v>
      </c>
      <c r="D97" t="s">
        <v>981</v>
      </c>
      <c r="E97" t="s">
        <v>982</v>
      </c>
      <c r="F97" t="s">
        <v>983</v>
      </c>
      <c r="G97" s="1">
        <v>30321</v>
      </c>
      <c r="I97" t="s">
        <v>106</v>
      </c>
      <c r="J97" t="s">
        <v>698</v>
      </c>
      <c r="K97" t="s">
        <v>108</v>
      </c>
      <c r="P97" t="s">
        <v>109</v>
      </c>
      <c r="W97" t="str">
        <f>"2024-02-01T00:00:00"</f>
        <v>2024-02-01T00:00:00</v>
      </c>
      <c r="X97" t="str">
        <f>"8"</f>
        <v>8</v>
      </c>
      <c r="Z97" t="s">
        <v>540</v>
      </c>
      <c r="AA97" t="s">
        <v>111</v>
      </c>
      <c r="AE97" t="s">
        <v>138</v>
      </c>
      <c r="AF97" t="s">
        <v>484</v>
      </c>
      <c r="AG97">
        <v>1.5</v>
      </c>
      <c r="AH97" t="s">
        <v>114</v>
      </c>
      <c r="AI97" t="s">
        <v>115</v>
      </c>
      <c r="AJ97" t="s">
        <v>490</v>
      </c>
      <c r="AN97" t="s">
        <v>486</v>
      </c>
      <c r="AP97" t="str">
        <f>"0"</f>
        <v>0</v>
      </c>
      <c r="AQ97" t="str">
        <f>"0"</f>
        <v>0</v>
      </c>
      <c r="AS97" t="str">
        <f>"0"</f>
        <v>0</v>
      </c>
      <c r="AT97" t="str">
        <f t="shared" si="6"/>
        <v>0</v>
      </c>
      <c r="BH97" t="s">
        <v>118</v>
      </c>
      <c r="BI97">
        <v>0</v>
      </c>
    </row>
    <row r="98" spans="1:93" x14ac:dyDescent="0.3">
      <c r="A98">
        <v>3008280</v>
      </c>
      <c r="B98">
        <v>581619</v>
      </c>
      <c r="C98" t="str">
        <f>"850626450240"</f>
        <v>850626450240</v>
      </c>
      <c r="D98" t="s">
        <v>984</v>
      </c>
      <c r="E98" t="s">
        <v>985</v>
      </c>
      <c r="F98" t="s">
        <v>986</v>
      </c>
      <c r="G98" s="1">
        <v>31224</v>
      </c>
      <c r="I98" t="s">
        <v>106</v>
      </c>
      <c r="J98" t="s">
        <v>107</v>
      </c>
      <c r="K98" t="s">
        <v>108</v>
      </c>
      <c r="P98" t="s">
        <v>109</v>
      </c>
      <c r="Q98" t="s">
        <v>136</v>
      </c>
      <c r="W98" t="str">
        <f>"2024-01-08T00:00:00"</f>
        <v>2024-01-08T00:00:00</v>
      </c>
      <c r="X98" t="str">
        <f>"5"</f>
        <v>5</v>
      </c>
      <c r="Z98" t="s">
        <v>110</v>
      </c>
      <c r="AA98" t="s">
        <v>772</v>
      </c>
      <c r="AE98" t="s">
        <v>138</v>
      </c>
      <c r="AF98" t="s">
        <v>113</v>
      </c>
      <c r="AG98">
        <v>0.4</v>
      </c>
      <c r="AH98" t="s">
        <v>774</v>
      </c>
      <c r="AI98" t="s">
        <v>229</v>
      </c>
      <c r="AJ98" t="s">
        <v>230</v>
      </c>
      <c r="AN98" t="s">
        <v>117</v>
      </c>
      <c r="AO98" t="s">
        <v>118</v>
      </c>
      <c r="AP98" t="str">
        <f>"19"</f>
        <v>19</v>
      </c>
      <c r="AQ98" t="str">
        <f>"19"</f>
        <v>19</v>
      </c>
      <c r="AR98" t="str">
        <f>"16"</f>
        <v>16</v>
      </c>
      <c r="AS98" t="str">
        <f>"16"</f>
        <v>16</v>
      </c>
      <c r="AT98" t="str">
        <f t="shared" si="6"/>
        <v>0</v>
      </c>
      <c r="AU98" t="str">
        <f>"kymbat_8585@bk.ru"</f>
        <v>kymbat_8585@bk.ru</v>
      </c>
      <c r="AV98" t="str">
        <f>"87773349076"</f>
        <v>87773349076</v>
      </c>
      <c r="AW98" t="s">
        <v>139</v>
      </c>
      <c r="AX98" t="s">
        <v>232</v>
      </c>
      <c r="AZ98" t="s">
        <v>189</v>
      </c>
      <c r="BD98" t="s">
        <v>288</v>
      </c>
      <c r="BE98" t="s">
        <v>122</v>
      </c>
      <c r="BF98">
        <v>0.4</v>
      </c>
      <c r="BG98" t="str">
        <f>"[6]"</f>
        <v>[6]</v>
      </c>
      <c r="BH98" t="s">
        <v>118</v>
      </c>
      <c r="BI98">
        <v>0</v>
      </c>
      <c r="BN98" t="s">
        <v>824</v>
      </c>
      <c r="BR98" t="s">
        <v>136</v>
      </c>
      <c r="BU98" t="s">
        <v>987</v>
      </c>
      <c r="BV98" t="s">
        <v>988</v>
      </c>
      <c r="BW98" t="s">
        <v>989</v>
      </c>
      <c r="BX98" t="s">
        <v>990</v>
      </c>
      <c r="BY98" t="s">
        <v>311</v>
      </c>
      <c r="BZ98" t="s">
        <v>991</v>
      </c>
      <c r="CA98" t="s">
        <v>992</v>
      </c>
      <c r="CB98" t="s">
        <v>993</v>
      </c>
      <c r="CC98" t="s">
        <v>994</v>
      </c>
      <c r="CD98" t="s">
        <v>171</v>
      </c>
      <c r="CE98" t="s">
        <v>995</v>
      </c>
      <c r="CF98" t="s">
        <v>153</v>
      </c>
      <c r="CI98" t="str">
        <f>"0"</f>
        <v>0</v>
      </c>
      <c r="CL98" t="s">
        <v>136</v>
      </c>
      <c r="CN98" t="s">
        <v>132</v>
      </c>
      <c r="CO98" t="s">
        <v>118</v>
      </c>
    </row>
    <row r="99" spans="1:93" x14ac:dyDescent="0.3">
      <c r="A99">
        <v>3008281</v>
      </c>
      <c r="B99">
        <v>141756</v>
      </c>
      <c r="C99" t="str">
        <f>"740430301189"</f>
        <v>740430301189</v>
      </c>
      <c r="D99" t="s">
        <v>996</v>
      </c>
      <c r="E99" t="s">
        <v>997</v>
      </c>
      <c r="F99" t="s">
        <v>998</v>
      </c>
      <c r="G99" s="1">
        <v>27149</v>
      </c>
      <c r="I99" t="s">
        <v>548</v>
      </c>
      <c r="J99" t="s">
        <v>107</v>
      </c>
      <c r="K99" t="s">
        <v>108</v>
      </c>
      <c r="P99" t="s">
        <v>843</v>
      </c>
      <c r="Q99" t="s">
        <v>136</v>
      </c>
      <c r="W99" t="str">
        <f>"2024-02-12T00:00:00"</f>
        <v>2024-02-12T00:00:00</v>
      </c>
      <c r="X99" t="str">
        <f>"11"</f>
        <v>11</v>
      </c>
      <c r="Z99" t="s">
        <v>110</v>
      </c>
      <c r="AA99" t="s">
        <v>111</v>
      </c>
      <c r="AE99" t="s">
        <v>138</v>
      </c>
      <c r="AF99" t="s">
        <v>113</v>
      </c>
      <c r="AG99">
        <v>1</v>
      </c>
      <c r="AH99" t="s">
        <v>114</v>
      </c>
      <c r="AI99" t="s">
        <v>115</v>
      </c>
      <c r="AJ99" t="s">
        <v>116</v>
      </c>
      <c r="AN99" t="s">
        <v>117</v>
      </c>
      <c r="AO99" t="s">
        <v>118</v>
      </c>
      <c r="AP99" t="str">
        <f>"19"</f>
        <v>19</v>
      </c>
      <c r="AQ99" t="str">
        <f>"19"</f>
        <v>19</v>
      </c>
      <c r="AR99" t="str">
        <f>"19"</f>
        <v>19</v>
      </c>
      <c r="AS99" t="str">
        <f>"19"</f>
        <v>19</v>
      </c>
      <c r="AT99" t="str">
        <f t="shared" si="6"/>
        <v>0</v>
      </c>
      <c r="AU99" t="str">
        <f>"kairbekov.1974@gmail.com"</f>
        <v>kairbekov.1974@gmail.com</v>
      </c>
      <c r="AV99" t="str">
        <f>"87056362956"</f>
        <v>87056362956</v>
      </c>
      <c r="AW99" t="s">
        <v>231</v>
      </c>
      <c r="AX99" t="s">
        <v>140</v>
      </c>
      <c r="AZ99" t="s">
        <v>120</v>
      </c>
      <c r="BD99" t="s">
        <v>553</v>
      </c>
      <c r="BE99" t="s">
        <v>122</v>
      </c>
      <c r="BF99">
        <v>1</v>
      </c>
      <c r="BG99" t="str">
        <f>"[16]"</f>
        <v>[16]</v>
      </c>
      <c r="BH99" t="s">
        <v>118</v>
      </c>
      <c r="BI99">
        <v>0</v>
      </c>
      <c r="BN99" t="s">
        <v>824</v>
      </c>
      <c r="BR99" t="s">
        <v>136</v>
      </c>
      <c r="BU99" t="s">
        <v>331</v>
      </c>
      <c r="BV99" t="s">
        <v>999</v>
      </c>
      <c r="BW99" t="s">
        <v>1000</v>
      </c>
      <c r="BX99" t="s">
        <v>292</v>
      </c>
      <c r="BY99" t="s">
        <v>798</v>
      </c>
      <c r="BZ99" t="s">
        <v>913</v>
      </c>
      <c r="CA99" t="s">
        <v>1001</v>
      </c>
      <c r="CB99" t="s">
        <v>1002</v>
      </c>
      <c r="CC99" t="s">
        <v>1003</v>
      </c>
      <c r="CD99" t="s">
        <v>171</v>
      </c>
      <c r="CE99" t="s">
        <v>1004</v>
      </c>
      <c r="CF99" s="2">
        <v>45383</v>
      </c>
      <c r="CI99" t="str">
        <f>"0"</f>
        <v>0</v>
      </c>
      <c r="CL99" t="s">
        <v>136</v>
      </c>
      <c r="CN99" t="s">
        <v>132</v>
      </c>
      <c r="CO99" t="s">
        <v>118</v>
      </c>
    </row>
    <row r="100" spans="1:93" x14ac:dyDescent="0.3">
      <c r="A100">
        <v>3008283</v>
      </c>
      <c r="B100">
        <v>157451</v>
      </c>
      <c r="C100" t="str">
        <f>"930922350865"</f>
        <v>930922350865</v>
      </c>
      <c r="D100" t="s">
        <v>1005</v>
      </c>
      <c r="E100" t="s">
        <v>1006</v>
      </c>
      <c r="F100" t="s">
        <v>629</v>
      </c>
      <c r="G100" s="1">
        <v>34234</v>
      </c>
      <c r="I100" t="s">
        <v>548</v>
      </c>
      <c r="J100" t="s">
        <v>107</v>
      </c>
      <c r="K100" t="s">
        <v>108</v>
      </c>
      <c r="P100" t="s">
        <v>549</v>
      </c>
      <c r="Q100" t="s">
        <v>136</v>
      </c>
      <c r="W100" t="str">
        <f>"2024-02-12T00:00:00"</f>
        <v>2024-02-12T00:00:00</v>
      </c>
      <c r="X100" t="str">
        <f>"12"</f>
        <v>12</v>
      </c>
      <c r="Z100" t="s">
        <v>110</v>
      </c>
      <c r="AA100" t="s">
        <v>772</v>
      </c>
      <c r="AE100" t="s">
        <v>138</v>
      </c>
      <c r="AF100" t="s">
        <v>551</v>
      </c>
      <c r="AG100">
        <v>1</v>
      </c>
      <c r="AH100" t="s">
        <v>774</v>
      </c>
      <c r="AI100" t="s">
        <v>115</v>
      </c>
      <c r="AJ100" t="s">
        <v>116</v>
      </c>
      <c r="AN100" t="s">
        <v>117</v>
      </c>
      <c r="AO100" t="s">
        <v>118</v>
      </c>
      <c r="AP100" t="str">
        <f>"2"</f>
        <v>2</v>
      </c>
      <c r="AQ100" t="str">
        <f>"2"</f>
        <v>2</v>
      </c>
      <c r="AR100" t="str">
        <f>"2"</f>
        <v>2</v>
      </c>
      <c r="AS100" t="str">
        <f>"2"</f>
        <v>2</v>
      </c>
      <c r="AT100" t="str">
        <f t="shared" si="6"/>
        <v>0</v>
      </c>
      <c r="AU100" t="str">
        <f>"shakhmetov2293@mail.ru"</f>
        <v>shakhmetov2293@mail.ru</v>
      </c>
      <c r="AV100" t="str">
        <f>"87077085541"</f>
        <v>87077085541</v>
      </c>
      <c r="AW100" t="s">
        <v>119</v>
      </c>
      <c r="AX100" t="s">
        <v>330</v>
      </c>
      <c r="AZ100" t="s">
        <v>120</v>
      </c>
      <c r="BD100" t="s">
        <v>552</v>
      </c>
      <c r="BE100" t="s">
        <v>122</v>
      </c>
      <c r="BH100" t="s">
        <v>118</v>
      </c>
      <c r="BI100">
        <v>0</v>
      </c>
      <c r="BN100" t="s">
        <v>824</v>
      </c>
      <c r="BR100" t="s">
        <v>136</v>
      </c>
      <c r="BU100" t="s">
        <v>123</v>
      </c>
      <c r="BV100" t="s">
        <v>553</v>
      </c>
      <c r="BW100" t="s">
        <v>667</v>
      </c>
      <c r="BX100" t="s">
        <v>125</v>
      </c>
      <c r="BY100" t="s">
        <v>570</v>
      </c>
      <c r="BZ100">
        <v>40</v>
      </c>
      <c r="CA100" t="s">
        <v>1007</v>
      </c>
      <c r="CB100" t="s">
        <v>1008</v>
      </c>
      <c r="CC100">
        <v>9388</v>
      </c>
      <c r="CD100" t="s">
        <v>171</v>
      </c>
      <c r="CE100" t="s">
        <v>1009</v>
      </c>
      <c r="CF100" t="s">
        <v>153</v>
      </c>
      <c r="CI100" t="str">
        <f>"0"</f>
        <v>0</v>
      </c>
      <c r="CL100" t="s">
        <v>136</v>
      </c>
      <c r="CN100" t="s">
        <v>132</v>
      </c>
      <c r="CO100" t="s">
        <v>118</v>
      </c>
    </row>
    <row r="101" spans="1:93" hidden="1" x14ac:dyDescent="0.3">
      <c r="A101">
        <v>3011172</v>
      </c>
      <c r="B101">
        <v>1504237</v>
      </c>
      <c r="C101" t="str">
        <f>"900306450936"</f>
        <v>900306450936</v>
      </c>
      <c r="D101" t="s">
        <v>1010</v>
      </c>
      <c r="E101" t="s">
        <v>1011</v>
      </c>
      <c r="F101" t="s">
        <v>1012</v>
      </c>
      <c r="G101" s="1">
        <v>32938</v>
      </c>
      <c r="I101" t="s">
        <v>106</v>
      </c>
      <c r="J101" t="s">
        <v>107</v>
      </c>
      <c r="K101" t="s">
        <v>108</v>
      </c>
      <c r="P101" t="s">
        <v>109</v>
      </c>
      <c r="Q101" t="s">
        <v>136</v>
      </c>
      <c r="W101" t="str">
        <f>"2024-01-23T00:00:00"</f>
        <v>2024-01-23T00:00:00</v>
      </c>
      <c r="X101" t="str">
        <f>"7"</f>
        <v>7</v>
      </c>
      <c r="Z101" t="s">
        <v>110</v>
      </c>
      <c r="AA101" t="s">
        <v>772</v>
      </c>
      <c r="AE101" t="s">
        <v>138</v>
      </c>
      <c r="AF101" t="s">
        <v>864</v>
      </c>
      <c r="AG101">
        <v>1</v>
      </c>
      <c r="AH101" t="s">
        <v>774</v>
      </c>
      <c r="AI101" t="s">
        <v>115</v>
      </c>
      <c r="AJ101" t="s">
        <v>775</v>
      </c>
      <c r="AN101" t="s">
        <v>117</v>
      </c>
      <c r="AP101" t="str">
        <f>"10"</f>
        <v>10</v>
      </c>
      <c r="AQ101" t="str">
        <f>"10"</f>
        <v>10</v>
      </c>
      <c r="AS101" t="str">
        <f>"0"</f>
        <v>0</v>
      </c>
      <c r="AT101" t="str">
        <f t="shared" si="6"/>
        <v>0</v>
      </c>
      <c r="BH101" t="s">
        <v>118</v>
      </c>
      <c r="BI101">
        <v>0</v>
      </c>
    </row>
    <row r="102" spans="1:93" x14ac:dyDescent="0.3">
      <c r="A102">
        <v>3011391</v>
      </c>
      <c r="B102">
        <v>567597</v>
      </c>
      <c r="C102" t="str">
        <f>"870823450027"</f>
        <v>870823450027</v>
      </c>
      <c r="D102" t="s">
        <v>984</v>
      </c>
      <c r="E102" t="s">
        <v>724</v>
      </c>
      <c r="F102" t="s">
        <v>1013</v>
      </c>
      <c r="G102" s="1">
        <v>32012</v>
      </c>
      <c r="I102" t="s">
        <v>106</v>
      </c>
      <c r="J102" t="s">
        <v>107</v>
      </c>
      <c r="K102" t="s">
        <v>108</v>
      </c>
      <c r="P102" t="s">
        <v>109</v>
      </c>
      <c r="Q102" t="s">
        <v>136</v>
      </c>
      <c r="W102" t="str">
        <f>"2024-02-05T00:00:00"</f>
        <v>2024-02-05T00:00:00</v>
      </c>
      <c r="X102" t="str">
        <f>"9/1"</f>
        <v>9/1</v>
      </c>
      <c r="Z102" t="s">
        <v>396</v>
      </c>
      <c r="AA102" t="s">
        <v>111</v>
      </c>
      <c r="AE102" t="s">
        <v>138</v>
      </c>
      <c r="AF102" t="s">
        <v>1014</v>
      </c>
      <c r="AG102">
        <v>1</v>
      </c>
      <c r="AH102" t="s">
        <v>114</v>
      </c>
      <c r="AI102" t="s">
        <v>115</v>
      </c>
      <c r="AJ102" t="s">
        <v>116</v>
      </c>
      <c r="AN102" t="s">
        <v>117</v>
      </c>
      <c r="AO102" t="s">
        <v>158</v>
      </c>
      <c r="AP102" t="str">
        <f>"17"</f>
        <v>17</v>
      </c>
      <c r="AQ102" t="str">
        <f>"17"</f>
        <v>17</v>
      </c>
      <c r="AR102" t="str">
        <f>"17"</f>
        <v>17</v>
      </c>
      <c r="AS102" t="str">
        <f>"17"</f>
        <v>17</v>
      </c>
      <c r="AT102" t="str">
        <f t="shared" si="6"/>
        <v>0</v>
      </c>
      <c r="AU102" t="str">
        <f>"shkola.zhaskayrat@mail.ru"</f>
        <v>shkola.zhaskayrat@mail.ru</v>
      </c>
      <c r="AV102" t="str">
        <f>"87761470347"</f>
        <v>87761470347</v>
      </c>
      <c r="AW102" t="s">
        <v>159</v>
      </c>
      <c r="AX102" t="s">
        <v>140</v>
      </c>
      <c r="AZ102" t="s">
        <v>120</v>
      </c>
      <c r="BH102" t="s">
        <v>118</v>
      </c>
      <c r="BI102">
        <v>0</v>
      </c>
      <c r="BN102" t="s">
        <v>275</v>
      </c>
      <c r="BR102" t="s">
        <v>131</v>
      </c>
      <c r="BS102" t="s">
        <v>554</v>
      </c>
      <c r="BU102" t="s">
        <v>588</v>
      </c>
      <c r="CD102" t="s">
        <v>171</v>
      </c>
      <c r="CI102" t="str">
        <f>"0"</f>
        <v>0</v>
      </c>
      <c r="CL102" t="s">
        <v>136</v>
      </c>
      <c r="CN102" t="s">
        <v>132</v>
      </c>
      <c r="CO102" t="s">
        <v>185</v>
      </c>
    </row>
    <row r="103" spans="1:93" hidden="1" x14ac:dyDescent="0.3">
      <c r="A103">
        <v>3012065</v>
      </c>
      <c r="B103">
        <v>1529062</v>
      </c>
      <c r="C103" t="str">
        <f>"710823450471"</f>
        <v>710823450471</v>
      </c>
      <c r="D103" t="s">
        <v>1015</v>
      </c>
      <c r="E103" t="s">
        <v>1016</v>
      </c>
      <c r="F103" t="s">
        <v>1017</v>
      </c>
      <c r="G103" s="1">
        <v>26168</v>
      </c>
      <c r="I103" t="s">
        <v>106</v>
      </c>
      <c r="J103" t="s">
        <v>107</v>
      </c>
      <c r="K103" t="s">
        <v>108</v>
      </c>
      <c r="P103" t="s">
        <v>109</v>
      </c>
      <c r="Q103" t="s">
        <v>136</v>
      </c>
      <c r="W103" t="str">
        <f>"2022-05-17T00:00:00"</f>
        <v>2022-05-17T00:00:00</v>
      </c>
      <c r="X103" t="str">
        <f>"68"</f>
        <v>68</v>
      </c>
      <c r="Z103" t="s">
        <v>110</v>
      </c>
      <c r="AA103" t="s">
        <v>111</v>
      </c>
      <c r="AE103" t="s">
        <v>138</v>
      </c>
      <c r="AF103" t="s">
        <v>484</v>
      </c>
      <c r="AG103">
        <v>1.5</v>
      </c>
      <c r="AH103" t="s">
        <v>114</v>
      </c>
      <c r="AI103" t="s">
        <v>115</v>
      </c>
      <c r="AJ103" t="s">
        <v>490</v>
      </c>
      <c r="AN103" t="s">
        <v>486</v>
      </c>
      <c r="AP103" t="str">
        <f>"6"</f>
        <v>6</v>
      </c>
      <c r="AQ103" t="str">
        <f>"7"</f>
        <v>7</v>
      </c>
      <c r="AS103" t="str">
        <f>"0"</f>
        <v>0</v>
      </c>
      <c r="AT103" t="str">
        <f>"1"</f>
        <v>1</v>
      </c>
      <c r="BH103" t="s">
        <v>118</v>
      </c>
      <c r="BI103">
        <v>0</v>
      </c>
    </row>
  </sheetData>
  <autoFilter ref="A1:CY103">
    <filterColumn colId="31">
      <filters>
        <filter val="директор"/>
        <filter val="логопед"/>
        <filter val="педагог группы/класса предшкольной подготовки"/>
        <filter val="педагог-ассистент"/>
        <filter val="педагог-организатор начальной военной и технологической подготовки"/>
        <filter val="педагог-психолог"/>
        <filter val="социальный педагог"/>
        <filter val="учитель начальных классов"/>
        <filter val="учитель/преподаватель"/>
        <filter val="учитель-дефектолог"/>
        <filter val="учитель-логопед"/>
      </filters>
    </filterColumn>
  </autoFilter>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CY103"/>
  <sheetViews>
    <sheetView tabSelected="1" topLeftCell="P1" workbookViewId="0">
      <selection activeCell="V24" sqref="V24"/>
    </sheetView>
  </sheetViews>
  <sheetFormatPr defaultRowHeight="14.4" x14ac:dyDescent="0.3"/>
  <cols>
    <col min="2" max="2" width="9.88671875" customWidth="1"/>
    <col min="3" max="3" width="13.33203125" customWidth="1"/>
    <col min="4" max="4" width="15.109375" customWidth="1"/>
    <col min="5" max="5" width="14.6640625" customWidth="1"/>
    <col min="6" max="6" width="20.88671875" customWidth="1"/>
    <col min="7" max="7" width="13.21875" customWidth="1"/>
  </cols>
  <sheetData>
    <row r="1" spans="1:103" x14ac:dyDescent="0.3">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c r="CM1" t="s">
        <v>90</v>
      </c>
      <c r="CN1" t="s">
        <v>91</v>
      </c>
      <c r="CO1" t="s">
        <v>92</v>
      </c>
      <c r="CP1" t="s">
        <v>93</v>
      </c>
      <c r="CQ1" t="s">
        <v>94</v>
      </c>
      <c r="CR1" t="s">
        <v>95</v>
      </c>
      <c r="CS1" t="s">
        <v>96</v>
      </c>
      <c r="CT1" t="s">
        <v>97</v>
      </c>
      <c r="CU1" t="s">
        <v>98</v>
      </c>
      <c r="CV1" t="s">
        <v>99</v>
      </c>
      <c r="CW1" t="s">
        <v>100</v>
      </c>
      <c r="CX1" t="s">
        <v>101</v>
      </c>
      <c r="CY1" t="s">
        <v>102</v>
      </c>
    </row>
    <row r="2" spans="1:103" hidden="1" x14ac:dyDescent="0.3">
      <c r="A2">
        <v>180512</v>
      </c>
      <c r="B2">
        <v>116929</v>
      </c>
      <c r="C2" t="str">
        <f>"920527450793"</f>
        <v>920527450793</v>
      </c>
      <c r="D2" t="s">
        <v>103</v>
      </c>
      <c r="E2" t="s">
        <v>104</v>
      </c>
      <c r="F2" t="s">
        <v>105</v>
      </c>
      <c r="G2" s="1">
        <v>33751</v>
      </c>
      <c r="I2" t="s">
        <v>106</v>
      </c>
      <c r="J2" t="s">
        <v>107</v>
      </c>
      <c r="K2" t="s">
        <v>108</v>
      </c>
      <c r="P2" t="s">
        <v>109</v>
      </c>
      <c r="W2" t="str">
        <f>"2017-11-06T00:00:00"</f>
        <v>2017-11-06T00:00:00</v>
      </c>
      <c r="X2" t="str">
        <f>"38"</f>
        <v>38</v>
      </c>
      <c r="Z2" t="s">
        <v>110</v>
      </c>
      <c r="AA2" t="s">
        <v>111</v>
      </c>
      <c r="AE2" t="s">
        <v>112</v>
      </c>
      <c r="AF2" t="s">
        <v>113</v>
      </c>
      <c r="AG2">
        <v>0</v>
      </c>
      <c r="AH2" t="s">
        <v>114</v>
      </c>
      <c r="AI2" t="s">
        <v>115</v>
      </c>
      <c r="AJ2" t="s">
        <v>116</v>
      </c>
      <c r="AN2" t="s">
        <v>117</v>
      </c>
      <c r="AO2" t="s">
        <v>118</v>
      </c>
      <c r="AP2" t="str">
        <f>"1"</f>
        <v>1</v>
      </c>
      <c r="AQ2" t="str">
        <f>"6"</f>
        <v>6</v>
      </c>
      <c r="AR2" t="str">
        <f>"4"</f>
        <v>4</v>
      </c>
      <c r="AS2" t="str">
        <f>"4"</f>
        <v>4</v>
      </c>
      <c r="AT2" t="str">
        <f>"5"</f>
        <v>5</v>
      </c>
      <c r="AU2" t="str">
        <f>"akmaral_kainarova@mail.ru"</f>
        <v>akmaral_kainarova@mail.ru</v>
      </c>
      <c r="AV2" t="str">
        <f>"87761210228"</f>
        <v>87761210228</v>
      </c>
      <c r="AW2" t="s">
        <v>119</v>
      </c>
      <c r="AZ2" t="s">
        <v>120</v>
      </c>
      <c r="BD2" t="s">
        <v>121</v>
      </c>
      <c r="BE2" t="s">
        <v>122</v>
      </c>
      <c r="BF2">
        <v>0</v>
      </c>
      <c r="BG2" t="str">
        <f>"[0]"</f>
        <v>[0]</v>
      </c>
      <c r="BH2" t="s">
        <v>118</v>
      </c>
      <c r="BI2">
        <v>0</v>
      </c>
      <c r="BU2" t="s">
        <v>123</v>
      </c>
      <c r="BV2" t="s">
        <v>121</v>
      </c>
      <c r="BW2" t="s">
        <v>124</v>
      </c>
      <c r="BX2" t="s">
        <v>125</v>
      </c>
      <c r="BY2" t="s">
        <v>126</v>
      </c>
      <c r="BZ2">
        <v>72</v>
      </c>
      <c r="CA2" t="s">
        <v>127</v>
      </c>
      <c r="CB2" t="s">
        <v>128</v>
      </c>
      <c r="CC2">
        <v>34556</v>
      </c>
      <c r="CD2" t="s">
        <v>129</v>
      </c>
      <c r="CE2" t="s">
        <v>130</v>
      </c>
      <c r="CI2" t="str">
        <f>"0"</f>
        <v>0</v>
      </c>
      <c r="CL2" t="s">
        <v>131</v>
      </c>
      <c r="CN2" t="s">
        <v>132</v>
      </c>
      <c r="CO2" t="s">
        <v>118</v>
      </c>
    </row>
    <row r="3" spans="1:103" hidden="1" x14ac:dyDescent="0.3">
      <c r="A3">
        <v>180530</v>
      </c>
      <c r="B3">
        <v>155648</v>
      </c>
      <c r="C3" t="str">
        <f>"870722450791"</f>
        <v>870722450791</v>
      </c>
      <c r="D3" t="s">
        <v>133</v>
      </c>
      <c r="E3" t="s">
        <v>134</v>
      </c>
      <c r="F3" t="s">
        <v>135</v>
      </c>
      <c r="G3" s="1">
        <v>31980</v>
      </c>
      <c r="I3" t="s">
        <v>106</v>
      </c>
      <c r="J3" t="s">
        <v>107</v>
      </c>
      <c r="K3" t="s">
        <v>108</v>
      </c>
      <c r="P3" t="s">
        <v>109</v>
      </c>
      <c r="Q3" t="s">
        <v>136</v>
      </c>
      <c r="W3" t="str">
        <f>"2016-08-31T00:00:00"</f>
        <v>2016-08-31T00:00:00</v>
      </c>
      <c r="X3" t="str">
        <f>"86"</f>
        <v>86</v>
      </c>
      <c r="Z3" t="s">
        <v>137</v>
      </c>
      <c r="AA3" t="s">
        <v>111</v>
      </c>
      <c r="AE3" t="s">
        <v>138</v>
      </c>
      <c r="AF3" t="s">
        <v>113</v>
      </c>
      <c r="AG3">
        <v>1.5</v>
      </c>
      <c r="AH3" t="s">
        <v>114</v>
      </c>
      <c r="AI3" t="s">
        <v>115</v>
      </c>
      <c r="AJ3" t="s">
        <v>116</v>
      </c>
      <c r="AN3" t="s">
        <v>117</v>
      </c>
      <c r="AO3" t="s">
        <v>118</v>
      </c>
      <c r="AP3" t="str">
        <f>"4"</f>
        <v>4</v>
      </c>
      <c r="AQ3" t="str">
        <f>"11"</f>
        <v>11</v>
      </c>
      <c r="AR3" t="str">
        <f>"9"</f>
        <v>9</v>
      </c>
      <c r="AS3" t="str">
        <f>"9"</f>
        <v>9</v>
      </c>
      <c r="AT3" t="str">
        <f>"7"</f>
        <v>7</v>
      </c>
      <c r="AU3" t="str">
        <f>"aigulya.smailova.1987@mail.ru"</f>
        <v>aigulya.smailova.1987@mail.ru</v>
      </c>
      <c r="AV3" t="str">
        <f>"87712676004"</f>
        <v>87712676004</v>
      </c>
      <c r="AW3" t="s">
        <v>139</v>
      </c>
      <c r="AX3" t="s">
        <v>140</v>
      </c>
      <c r="AZ3" t="s">
        <v>120</v>
      </c>
      <c r="BD3" t="s">
        <v>141</v>
      </c>
      <c r="BE3" t="s">
        <v>122</v>
      </c>
      <c r="BF3">
        <v>1.5</v>
      </c>
      <c r="BG3" t="str">
        <f>"[24]"</f>
        <v>[24]</v>
      </c>
      <c r="BH3" t="s">
        <v>118</v>
      </c>
      <c r="BI3">
        <v>0</v>
      </c>
      <c r="BN3" t="s">
        <v>142</v>
      </c>
      <c r="BR3" t="s">
        <v>131</v>
      </c>
      <c r="BU3" t="s">
        <v>143</v>
      </c>
      <c r="BV3" t="s">
        <v>144</v>
      </c>
      <c r="BW3" t="s">
        <v>145</v>
      </c>
      <c r="BX3" t="s">
        <v>146</v>
      </c>
      <c r="BY3" t="s">
        <v>147</v>
      </c>
      <c r="BZ3" t="s">
        <v>148</v>
      </c>
      <c r="CA3" t="s">
        <v>149</v>
      </c>
      <c r="CB3" t="s">
        <v>150</v>
      </c>
      <c r="CC3" t="s">
        <v>151</v>
      </c>
      <c r="CD3" t="s">
        <v>141</v>
      </c>
      <c r="CE3" t="s">
        <v>152</v>
      </c>
      <c r="CF3" t="s">
        <v>153</v>
      </c>
      <c r="CI3" t="str">
        <f>"0"</f>
        <v>0</v>
      </c>
      <c r="CL3" t="s">
        <v>131</v>
      </c>
      <c r="CN3" t="s">
        <v>132</v>
      </c>
      <c r="CO3" t="s">
        <v>118</v>
      </c>
    </row>
    <row r="4" spans="1:103" hidden="1" x14ac:dyDescent="0.3">
      <c r="A4">
        <v>180578</v>
      </c>
      <c r="B4">
        <v>153295</v>
      </c>
      <c r="C4" t="str">
        <f>"840828450693"</f>
        <v>840828450693</v>
      </c>
      <c r="D4" t="s">
        <v>154</v>
      </c>
      <c r="E4" t="s">
        <v>155</v>
      </c>
      <c r="F4" t="s">
        <v>156</v>
      </c>
      <c r="G4" s="1">
        <v>30922</v>
      </c>
      <c r="I4" t="s">
        <v>106</v>
      </c>
      <c r="J4" t="s">
        <v>107</v>
      </c>
      <c r="K4" t="s">
        <v>108</v>
      </c>
      <c r="P4" t="s">
        <v>109</v>
      </c>
      <c r="Q4" t="s">
        <v>136</v>
      </c>
      <c r="W4" t="str">
        <f>"2018-08-31T00:00:00"</f>
        <v>2018-08-31T00:00:00</v>
      </c>
      <c r="X4" t="str">
        <f>"196"</f>
        <v>196</v>
      </c>
      <c r="Z4" t="s">
        <v>137</v>
      </c>
      <c r="AA4" t="s">
        <v>111</v>
      </c>
      <c r="AE4" t="s">
        <v>138</v>
      </c>
      <c r="AF4" t="s">
        <v>157</v>
      </c>
      <c r="AG4">
        <v>1</v>
      </c>
      <c r="AH4" t="s">
        <v>114</v>
      </c>
      <c r="AI4" t="s">
        <v>115</v>
      </c>
      <c r="AJ4" t="s">
        <v>116</v>
      </c>
      <c r="AN4" t="s">
        <v>117</v>
      </c>
      <c r="AO4" t="s">
        <v>158</v>
      </c>
      <c r="AP4" t="str">
        <f>"15"</f>
        <v>15</v>
      </c>
      <c r="AQ4" t="str">
        <f>"20"</f>
        <v>20</v>
      </c>
      <c r="AR4" t="str">
        <f>"15"</f>
        <v>15</v>
      </c>
      <c r="AS4" t="str">
        <f>"15"</f>
        <v>15</v>
      </c>
      <c r="AT4" t="str">
        <f>"5"</f>
        <v>5</v>
      </c>
      <c r="AU4" t="str">
        <f>"aliya.zhakupova.84@inbox.ru"</f>
        <v>aliya.zhakupova.84@inbox.ru</v>
      </c>
      <c r="AV4" t="str">
        <f>"87777243670"</f>
        <v>87777243670</v>
      </c>
      <c r="AW4" t="s">
        <v>159</v>
      </c>
      <c r="AX4" t="s">
        <v>160</v>
      </c>
      <c r="AZ4" t="s">
        <v>120</v>
      </c>
      <c r="BH4" t="s">
        <v>118</v>
      </c>
      <c r="BI4">
        <v>0</v>
      </c>
      <c r="BN4" t="s">
        <v>161</v>
      </c>
      <c r="BR4" t="s">
        <v>131</v>
      </c>
      <c r="BU4" t="s">
        <v>162</v>
      </c>
      <c r="BV4" t="s">
        <v>163</v>
      </c>
      <c r="BW4" t="s">
        <v>164</v>
      </c>
      <c r="BX4" t="s">
        <v>165</v>
      </c>
      <c r="BY4" t="s">
        <v>166</v>
      </c>
      <c r="BZ4" t="s">
        <v>167</v>
      </c>
      <c r="CA4" t="s">
        <v>168</v>
      </c>
      <c r="CB4" t="s">
        <v>169</v>
      </c>
      <c r="CC4" t="s">
        <v>170</v>
      </c>
      <c r="CD4" t="s">
        <v>171</v>
      </c>
      <c r="CE4" t="s">
        <v>130</v>
      </c>
      <c r="CL4" t="s">
        <v>131</v>
      </c>
      <c r="CN4" t="s">
        <v>132</v>
      </c>
    </row>
    <row r="5" spans="1:103" hidden="1" x14ac:dyDescent="0.3">
      <c r="A5">
        <v>180599</v>
      </c>
      <c r="B5">
        <v>155706</v>
      </c>
      <c r="C5" t="str">
        <f>"940218451676"</f>
        <v>940218451676</v>
      </c>
      <c r="D5" t="s">
        <v>172</v>
      </c>
      <c r="E5" t="s">
        <v>173</v>
      </c>
      <c r="F5" t="s">
        <v>174</v>
      </c>
      <c r="G5" s="1">
        <v>34383</v>
      </c>
      <c r="I5" t="s">
        <v>106</v>
      </c>
      <c r="J5" t="s">
        <v>107</v>
      </c>
      <c r="K5" t="s">
        <v>108</v>
      </c>
      <c r="P5" t="s">
        <v>109</v>
      </c>
      <c r="W5" t="str">
        <f>"2017-01-10T00:00:00"</f>
        <v>2017-01-10T00:00:00</v>
      </c>
      <c r="X5" t="str">
        <f>"7"</f>
        <v>7</v>
      </c>
      <c r="Z5" t="s">
        <v>175</v>
      </c>
      <c r="AA5" t="s">
        <v>111</v>
      </c>
      <c r="AE5" t="s">
        <v>138</v>
      </c>
      <c r="AF5" t="s">
        <v>176</v>
      </c>
      <c r="AG5">
        <v>1</v>
      </c>
      <c r="AH5" t="s">
        <v>114</v>
      </c>
      <c r="AI5" t="s">
        <v>115</v>
      </c>
      <c r="AJ5" t="s">
        <v>116</v>
      </c>
      <c r="AN5" t="s">
        <v>117</v>
      </c>
      <c r="AO5" t="s">
        <v>118</v>
      </c>
      <c r="AP5" t="str">
        <f>"0"</f>
        <v>0</v>
      </c>
      <c r="AQ5" t="str">
        <f>"7"</f>
        <v>7</v>
      </c>
      <c r="AR5" t="str">
        <f>"6"</f>
        <v>6</v>
      </c>
      <c r="AS5" t="str">
        <f>"6"</f>
        <v>6</v>
      </c>
      <c r="AT5" t="str">
        <f>"7"</f>
        <v>7</v>
      </c>
      <c r="AU5" t="str">
        <f>"aubakirova.nazerke94@mail.ru"</f>
        <v>aubakirova.nazerke94@mail.ru</v>
      </c>
      <c r="AV5" t="str">
        <f>"87164556515"</f>
        <v>87164556515</v>
      </c>
      <c r="AW5" t="s">
        <v>119</v>
      </c>
      <c r="AZ5" t="s">
        <v>177</v>
      </c>
      <c r="BH5" t="s">
        <v>118</v>
      </c>
      <c r="BI5">
        <v>0</v>
      </c>
      <c r="BJ5" t="s">
        <v>119</v>
      </c>
      <c r="BN5" t="s">
        <v>142</v>
      </c>
      <c r="BR5" t="s">
        <v>131</v>
      </c>
      <c r="BU5" t="s">
        <v>178</v>
      </c>
      <c r="BV5" t="s">
        <v>179</v>
      </c>
      <c r="BW5" t="s">
        <v>180</v>
      </c>
      <c r="BX5" t="s">
        <v>146</v>
      </c>
      <c r="BY5" t="s">
        <v>147</v>
      </c>
      <c r="BZ5" t="s">
        <v>181</v>
      </c>
      <c r="CA5" t="s">
        <v>182</v>
      </c>
      <c r="CB5" t="s">
        <v>183</v>
      </c>
      <c r="CC5" t="s">
        <v>184</v>
      </c>
      <c r="CD5" t="s">
        <v>171</v>
      </c>
      <c r="CE5" t="s">
        <v>130</v>
      </c>
      <c r="CI5" t="str">
        <f t="shared" ref="CI5:CI28" si="0">"0"</f>
        <v>0</v>
      </c>
      <c r="CL5" t="s">
        <v>136</v>
      </c>
      <c r="CN5" t="s">
        <v>132</v>
      </c>
      <c r="CO5" t="s">
        <v>185</v>
      </c>
    </row>
    <row r="6" spans="1:103" hidden="1" x14ac:dyDescent="0.3">
      <c r="A6">
        <v>180605</v>
      </c>
      <c r="B6">
        <v>155711</v>
      </c>
      <c r="C6" t="str">
        <f>"911005401827"</f>
        <v>911005401827</v>
      </c>
      <c r="D6" t="s">
        <v>186</v>
      </c>
      <c r="E6" t="s">
        <v>187</v>
      </c>
      <c r="F6" t="s">
        <v>188</v>
      </c>
      <c r="G6" s="1">
        <v>33516</v>
      </c>
      <c r="I6" t="s">
        <v>106</v>
      </c>
      <c r="J6" t="s">
        <v>107</v>
      </c>
      <c r="K6" t="s">
        <v>108</v>
      </c>
      <c r="P6" t="s">
        <v>109</v>
      </c>
      <c r="W6" t="str">
        <f>"2017-08-28T00:00:00"</f>
        <v>2017-08-28T00:00:00</v>
      </c>
      <c r="X6" t="str">
        <f>"138"</f>
        <v>138</v>
      </c>
      <c r="Z6" t="s">
        <v>137</v>
      </c>
      <c r="AA6" t="s">
        <v>111</v>
      </c>
      <c r="AE6" t="s">
        <v>138</v>
      </c>
      <c r="AF6" t="s">
        <v>113</v>
      </c>
      <c r="AG6">
        <v>1.5</v>
      </c>
      <c r="AH6" t="s">
        <v>114</v>
      </c>
      <c r="AI6" t="s">
        <v>115</v>
      </c>
      <c r="AJ6" t="s">
        <v>116</v>
      </c>
      <c r="AN6" t="s">
        <v>117</v>
      </c>
      <c r="AO6" t="s">
        <v>118</v>
      </c>
      <c r="AP6" t="str">
        <f>"1"</f>
        <v>1</v>
      </c>
      <c r="AQ6" t="str">
        <f>"7"</f>
        <v>7</v>
      </c>
      <c r="AR6" t="str">
        <f>"7"</f>
        <v>7</v>
      </c>
      <c r="AS6" t="str">
        <f>"7"</f>
        <v>7</v>
      </c>
      <c r="AT6" t="str">
        <f>"6"</f>
        <v>6</v>
      </c>
      <c r="AU6" t="str">
        <f>"rachidinova.akerke@bk.ru"</f>
        <v>rachidinova.akerke@bk.ru</v>
      </c>
      <c r="AV6" t="str">
        <f>"87789298338"</f>
        <v>87789298338</v>
      </c>
      <c r="AW6" t="s">
        <v>119</v>
      </c>
      <c r="AZ6" t="s">
        <v>189</v>
      </c>
      <c r="BD6" t="s">
        <v>190</v>
      </c>
      <c r="BE6" t="s">
        <v>122</v>
      </c>
      <c r="BF6">
        <v>1.5</v>
      </c>
      <c r="BG6" t="str">
        <f>"[24]"</f>
        <v>[24]</v>
      </c>
      <c r="BH6" t="s">
        <v>118</v>
      </c>
      <c r="BI6">
        <v>0</v>
      </c>
      <c r="BN6" t="s">
        <v>161</v>
      </c>
      <c r="BR6" t="s">
        <v>131</v>
      </c>
      <c r="BU6" t="s">
        <v>191</v>
      </c>
      <c r="BV6" t="s">
        <v>192</v>
      </c>
      <c r="BW6" t="s">
        <v>193</v>
      </c>
      <c r="BX6" t="s">
        <v>194</v>
      </c>
      <c r="BY6" t="s">
        <v>195</v>
      </c>
      <c r="BZ6" t="s">
        <v>196</v>
      </c>
      <c r="CA6" t="s">
        <v>197</v>
      </c>
      <c r="CB6" t="s">
        <v>198</v>
      </c>
      <c r="CC6" t="s">
        <v>199</v>
      </c>
      <c r="CD6" t="s">
        <v>190</v>
      </c>
      <c r="CE6" t="s">
        <v>200</v>
      </c>
      <c r="CF6" t="s">
        <v>153</v>
      </c>
      <c r="CI6" t="str">
        <f t="shared" si="0"/>
        <v>0</v>
      </c>
      <c r="CL6" t="s">
        <v>131</v>
      </c>
      <c r="CN6" t="s">
        <v>201</v>
      </c>
      <c r="CO6" t="s">
        <v>185</v>
      </c>
    </row>
    <row r="7" spans="1:103" hidden="1" x14ac:dyDescent="0.3">
      <c r="A7">
        <v>180611</v>
      </c>
      <c r="B7">
        <v>155717</v>
      </c>
      <c r="C7" t="str">
        <f>"861026450868"</f>
        <v>861026450868</v>
      </c>
      <c r="D7" t="s">
        <v>202</v>
      </c>
      <c r="E7" t="s">
        <v>203</v>
      </c>
      <c r="F7" t="s">
        <v>204</v>
      </c>
      <c r="G7" s="1">
        <v>31711</v>
      </c>
      <c r="I7" t="s">
        <v>106</v>
      </c>
      <c r="J7" t="s">
        <v>107</v>
      </c>
      <c r="K7" t="s">
        <v>205</v>
      </c>
      <c r="P7" t="s">
        <v>109</v>
      </c>
      <c r="Q7" t="s">
        <v>136</v>
      </c>
      <c r="W7" t="str">
        <f>"2017-08-28T00:00:00"</f>
        <v>2017-08-28T00:00:00</v>
      </c>
      <c r="X7" t="str">
        <f>"139"</f>
        <v>139</v>
      </c>
      <c r="Z7" t="s">
        <v>206</v>
      </c>
      <c r="AA7" t="s">
        <v>111</v>
      </c>
      <c r="AE7" t="s">
        <v>138</v>
      </c>
      <c r="AF7" t="s">
        <v>207</v>
      </c>
      <c r="AG7">
        <v>1.5</v>
      </c>
      <c r="AH7" t="s">
        <v>114</v>
      </c>
      <c r="AI7" t="s">
        <v>115</v>
      </c>
      <c r="AJ7" t="s">
        <v>208</v>
      </c>
      <c r="AN7" t="s">
        <v>117</v>
      </c>
      <c r="AO7" t="s">
        <v>118</v>
      </c>
      <c r="AP7" t="str">
        <f>"7"</f>
        <v>7</v>
      </c>
      <c r="AQ7" t="str">
        <f>"13"</f>
        <v>13</v>
      </c>
      <c r="AR7" t="str">
        <f>"7"</f>
        <v>7</v>
      </c>
      <c r="AS7" t="str">
        <f>"7"</f>
        <v>7</v>
      </c>
      <c r="AT7" t="str">
        <f>"6"</f>
        <v>6</v>
      </c>
      <c r="AU7" t="str">
        <f>"alena_tokarchik@mail.ru"</f>
        <v>alena_tokarchik@mail.ru</v>
      </c>
      <c r="AV7" t="str">
        <f>"87472259629"</f>
        <v>87472259629</v>
      </c>
      <c r="AW7" t="s">
        <v>159</v>
      </c>
      <c r="AX7" t="s">
        <v>209</v>
      </c>
      <c r="AY7" t="s">
        <v>210</v>
      </c>
      <c r="AZ7" t="s">
        <v>211</v>
      </c>
      <c r="BD7" t="s">
        <v>212</v>
      </c>
      <c r="BE7" t="s">
        <v>213</v>
      </c>
      <c r="BF7">
        <v>1.5</v>
      </c>
      <c r="BG7" t="str">
        <f>"[24]"</f>
        <v>[24]</v>
      </c>
      <c r="BH7" t="s">
        <v>214</v>
      </c>
      <c r="BI7">
        <v>0.5</v>
      </c>
      <c r="BJ7" t="s">
        <v>119</v>
      </c>
      <c r="BL7" t="s">
        <v>171</v>
      </c>
      <c r="BM7">
        <v>0</v>
      </c>
      <c r="BN7" t="s">
        <v>161</v>
      </c>
      <c r="BR7" t="s">
        <v>131</v>
      </c>
      <c r="BU7" t="s">
        <v>215</v>
      </c>
      <c r="BV7" t="s">
        <v>216</v>
      </c>
      <c r="BW7" t="s">
        <v>217</v>
      </c>
      <c r="BX7" t="s">
        <v>218</v>
      </c>
      <c r="BY7" t="s">
        <v>219</v>
      </c>
      <c r="BZ7" t="s">
        <v>220</v>
      </c>
      <c r="CA7" t="s">
        <v>221</v>
      </c>
      <c r="CB7" t="s">
        <v>222</v>
      </c>
      <c r="CC7" t="s">
        <v>223</v>
      </c>
      <c r="CD7" t="s">
        <v>190</v>
      </c>
      <c r="CE7" t="s">
        <v>224</v>
      </c>
      <c r="CF7" s="2">
        <v>45383</v>
      </c>
      <c r="CI7" t="str">
        <f t="shared" si="0"/>
        <v>0</v>
      </c>
      <c r="CL7" t="s">
        <v>131</v>
      </c>
      <c r="CN7" t="s">
        <v>132</v>
      </c>
      <c r="CO7" t="s">
        <v>185</v>
      </c>
    </row>
    <row r="8" spans="1:103" hidden="1" x14ac:dyDescent="0.3">
      <c r="A8">
        <v>180632</v>
      </c>
      <c r="B8">
        <v>155731</v>
      </c>
      <c r="C8" t="str">
        <f>"741109401479"</f>
        <v>741109401479</v>
      </c>
      <c r="D8" t="s">
        <v>225</v>
      </c>
      <c r="E8" t="s">
        <v>226</v>
      </c>
      <c r="F8" t="s">
        <v>227</v>
      </c>
      <c r="G8" s="1">
        <v>27342</v>
      </c>
      <c r="I8" t="s">
        <v>106</v>
      </c>
      <c r="J8" t="s">
        <v>107</v>
      </c>
      <c r="K8" t="s">
        <v>108</v>
      </c>
      <c r="P8" t="s">
        <v>109</v>
      </c>
      <c r="Q8" t="s">
        <v>136</v>
      </c>
      <c r="W8" t="str">
        <f>"2022-12-15T00:00:00"</f>
        <v>2022-12-15T00:00:00</v>
      </c>
      <c r="X8" t="str">
        <f>"357"</f>
        <v>357</v>
      </c>
      <c r="Z8" t="s">
        <v>137</v>
      </c>
      <c r="AA8" t="s">
        <v>111</v>
      </c>
      <c r="AE8" t="s">
        <v>138</v>
      </c>
      <c r="AF8" t="s">
        <v>228</v>
      </c>
      <c r="AG8">
        <v>1</v>
      </c>
      <c r="AH8" t="s">
        <v>114</v>
      </c>
      <c r="AI8" t="s">
        <v>229</v>
      </c>
      <c r="AJ8" t="s">
        <v>230</v>
      </c>
      <c r="AN8" t="s">
        <v>117</v>
      </c>
      <c r="AO8" t="s">
        <v>118</v>
      </c>
      <c r="AP8" t="str">
        <f>"28"</f>
        <v>28</v>
      </c>
      <c r="AQ8" t="str">
        <f>"29"</f>
        <v>29</v>
      </c>
      <c r="AR8" t="str">
        <f>"28"</f>
        <v>28</v>
      </c>
      <c r="AS8" t="str">
        <f>"28"</f>
        <v>28</v>
      </c>
      <c r="AT8" t="str">
        <f>"1"</f>
        <v>1</v>
      </c>
      <c r="AU8" t="str">
        <f>"dametken.ospanova@mail.ru"</f>
        <v>dametken.ospanova@mail.ru</v>
      </c>
      <c r="AV8" t="str">
        <f>"87713749074"</f>
        <v>87713749074</v>
      </c>
      <c r="AW8" t="s">
        <v>231</v>
      </c>
      <c r="AX8" t="s">
        <v>232</v>
      </c>
      <c r="AY8" t="s">
        <v>233</v>
      </c>
      <c r="AZ8" t="s">
        <v>177</v>
      </c>
      <c r="BD8" t="s">
        <v>212</v>
      </c>
      <c r="BE8" t="s">
        <v>122</v>
      </c>
      <c r="BF8">
        <v>0.5</v>
      </c>
      <c r="BG8" t="str">
        <f>"[8]"</f>
        <v>[8]</v>
      </c>
      <c r="BH8" t="s">
        <v>118</v>
      </c>
      <c r="BI8">
        <v>0</v>
      </c>
      <c r="BN8" t="s">
        <v>161</v>
      </c>
      <c r="BR8" t="s">
        <v>131</v>
      </c>
      <c r="BU8" t="s">
        <v>234</v>
      </c>
      <c r="BV8" t="s">
        <v>235</v>
      </c>
      <c r="BW8" t="s">
        <v>236</v>
      </c>
      <c r="BX8" t="s">
        <v>237</v>
      </c>
      <c r="BY8" t="s">
        <v>238</v>
      </c>
      <c r="BZ8" t="s">
        <v>239</v>
      </c>
      <c r="CA8" t="s">
        <v>240</v>
      </c>
      <c r="CB8" t="s">
        <v>241</v>
      </c>
      <c r="CC8" t="s">
        <v>242</v>
      </c>
      <c r="CD8" t="s">
        <v>171</v>
      </c>
      <c r="CE8" t="s">
        <v>243</v>
      </c>
      <c r="CF8" s="2">
        <v>45383</v>
      </c>
      <c r="CI8" t="str">
        <f t="shared" si="0"/>
        <v>0</v>
      </c>
      <c r="CL8" t="s">
        <v>136</v>
      </c>
      <c r="CN8" t="s">
        <v>132</v>
      </c>
      <c r="CO8" t="s">
        <v>244</v>
      </c>
    </row>
    <row r="9" spans="1:103" hidden="1" x14ac:dyDescent="0.3">
      <c r="A9">
        <v>180644</v>
      </c>
      <c r="B9">
        <v>155743</v>
      </c>
      <c r="C9" t="str">
        <f>"940708401435"</f>
        <v>940708401435</v>
      </c>
      <c r="D9" t="s">
        <v>245</v>
      </c>
      <c r="E9" t="s">
        <v>246</v>
      </c>
      <c r="F9" t="s">
        <v>156</v>
      </c>
      <c r="G9" s="1">
        <v>34523</v>
      </c>
      <c r="I9" t="s">
        <v>106</v>
      </c>
      <c r="J9" t="s">
        <v>107</v>
      </c>
      <c r="K9" t="s">
        <v>108</v>
      </c>
      <c r="P9" t="s">
        <v>109</v>
      </c>
      <c r="Q9" t="s">
        <v>136</v>
      </c>
      <c r="W9" t="str">
        <f>"2017-08-29T00:00:00"</f>
        <v>2017-08-29T00:00:00</v>
      </c>
      <c r="X9" t="str">
        <f>"144"</f>
        <v>144</v>
      </c>
      <c r="Z9" t="s">
        <v>137</v>
      </c>
      <c r="AA9" t="s">
        <v>111</v>
      </c>
      <c r="AE9" t="s">
        <v>138</v>
      </c>
      <c r="AF9" t="s">
        <v>113</v>
      </c>
      <c r="AG9">
        <v>1.1000000000000001</v>
      </c>
      <c r="AH9" t="s">
        <v>114</v>
      </c>
      <c r="AI9" t="s">
        <v>115</v>
      </c>
      <c r="AJ9" t="s">
        <v>116</v>
      </c>
      <c r="AN9" t="s">
        <v>117</v>
      </c>
      <c r="AO9" t="s">
        <v>118</v>
      </c>
      <c r="AP9" t="str">
        <f>"3"</f>
        <v>3</v>
      </c>
      <c r="AQ9" t="str">
        <f>"9"</f>
        <v>9</v>
      </c>
      <c r="AR9" t="str">
        <f>"9"</f>
        <v>9</v>
      </c>
      <c r="AS9" t="str">
        <f>"9"</f>
        <v>9</v>
      </c>
      <c r="AT9" t="str">
        <f>"6"</f>
        <v>6</v>
      </c>
      <c r="AU9" t="str">
        <f>"altyn0807@mail.ru"</f>
        <v>altyn0807@mail.ru</v>
      </c>
      <c r="AV9" t="str">
        <f>"87770402367"</f>
        <v>87770402367</v>
      </c>
      <c r="AW9" t="s">
        <v>139</v>
      </c>
      <c r="AX9" t="s">
        <v>160</v>
      </c>
      <c r="AZ9" t="s">
        <v>120</v>
      </c>
      <c r="BD9" t="s">
        <v>141</v>
      </c>
      <c r="BE9" t="s">
        <v>122</v>
      </c>
      <c r="BF9">
        <v>1.1000000000000001</v>
      </c>
      <c r="BG9" t="str">
        <f>"[18]"</f>
        <v>[18]</v>
      </c>
      <c r="BH9" t="s">
        <v>118</v>
      </c>
      <c r="BI9">
        <v>0</v>
      </c>
      <c r="BN9" t="s">
        <v>142</v>
      </c>
      <c r="BR9" t="s">
        <v>131</v>
      </c>
      <c r="BU9" t="s">
        <v>247</v>
      </c>
      <c r="BV9" t="s">
        <v>248</v>
      </c>
      <c r="BW9" t="s">
        <v>249</v>
      </c>
      <c r="BX9" t="s">
        <v>250</v>
      </c>
      <c r="BY9" t="s">
        <v>251</v>
      </c>
      <c r="BZ9" t="s">
        <v>252</v>
      </c>
      <c r="CA9" t="s">
        <v>253</v>
      </c>
      <c r="CB9" t="s">
        <v>254</v>
      </c>
      <c r="CC9" t="s">
        <v>255</v>
      </c>
      <c r="CD9" t="s">
        <v>141</v>
      </c>
      <c r="CE9" t="s">
        <v>256</v>
      </c>
      <c r="CF9" t="s">
        <v>153</v>
      </c>
      <c r="CI9" t="str">
        <f t="shared" si="0"/>
        <v>0</v>
      </c>
      <c r="CL9" t="s">
        <v>136</v>
      </c>
      <c r="CN9" t="s">
        <v>132</v>
      </c>
      <c r="CO9" t="s">
        <v>118</v>
      </c>
    </row>
    <row r="10" spans="1:103" hidden="1" x14ac:dyDescent="0.3">
      <c r="A10">
        <v>180653</v>
      </c>
      <c r="B10">
        <v>155749</v>
      </c>
      <c r="C10" t="str">
        <f>"670523450252"</f>
        <v>670523450252</v>
      </c>
      <c r="D10" t="s">
        <v>257</v>
      </c>
      <c r="E10" t="s">
        <v>258</v>
      </c>
      <c r="F10" t="s">
        <v>259</v>
      </c>
      <c r="G10" s="1">
        <v>24615</v>
      </c>
      <c r="I10" t="s">
        <v>106</v>
      </c>
      <c r="J10" t="s">
        <v>107</v>
      </c>
      <c r="K10" t="s">
        <v>108</v>
      </c>
      <c r="P10" t="s">
        <v>109</v>
      </c>
      <c r="Q10" t="s">
        <v>136</v>
      </c>
      <c r="W10" t="str">
        <f>"2017-09-02T00:00:00"</f>
        <v>2017-09-02T00:00:00</v>
      </c>
      <c r="X10" t="str">
        <f>"150"</f>
        <v>150</v>
      </c>
      <c r="Z10" t="s">
        <v>137</v>
      </c>
      <c r="AA10" t="s">
        <v>111</v>
      </c>
      <c r="AE10" t="s">
        <v>138</v>
      </c>
      <c r="AF10" t="s">
        <v>113</v>
      </c>
      <c r="AG10">
        <v>1.5</v>
      </c>
      <c r="AH10" t="s">
        <v>114</v>
      </c>
      <c r="AI10" t="s">
        <v>115</v>
      </c>
      <c r="AJ10" t="s">
        <v>116</v>
      </c>
      <c r="AN10" t="s">
        <v>117</v>
      </c>
      <c r="AO10" t="s">
        <v>118</v>
      </c>
      <c r="AP10" t="str">
        <f>"21"</f>
        <v>21</v>
      </c>
      <c r="AQ10" t="str">
        <f>"27"</f>
        <v>27</v>
      </c>
      <c r="AR10" t="str">
        <f>"27"</f>
        <v>27</v>
      </c>
      <c r="AS10" t="str">
        <f>"27"</f>
        <v>27</v>
      </c>
      <c r="AT10" t="str">
        <f>"6"</f>
        <v>6</v>
      </c>
      <c r="AU10" t="str">
        <f>"kaidarova.sara@mail.ru"</f>
        <v>kaidarova.sara@mail.ru</v>
      </c>
      <c r="AV10" t="str">
        <f>"87164536515"</f>
        <v>87164536515</v>
      </c>
      <c r="AW10" t="s">
        <v>139</v>
      </c>
      <c r="AX10" t="s">
        <v>232</v>
      </c>
      <c r="AZ10" t="s">
        <v>211</v>
      </c>
      <c r="BD10" t="s">
        <v>141</v>
      </c>
      <c r="BE10" t="s">
        <v>122</v>
      </c>
      <c r="BF10">
        <v>1.5</v>
      </c>
      <c r="BG10" t="str">
        <f>"[24]"</f>
        <v>[24]</v>
      </c>
      <c r="BH10" t="s">
        <v>118</v>
      </c>
      <c r="BI10">
        <v>0</v>
      </c>
      <c r="BN10" t="s">
        <v>161</v>
      </c>
      <c r="BR10" t="s">
        <v>131</v>
      </c>
      <c r="BU10" t="s">
        <v>260</v>
      </c>
      <c r="BV10" t="s">
        <v>261</v>
      </c>
      <c r="BW10" t="s">
        <v>262</v>
      </c>
      <c r="BX10" t="s">
        <v>263</v>
      </c>
      <c r="BY10" t="s">
        <v>264</v>
      </c>
      <c r="BZ10" t="s">
        <v>265</v>
      </c>
      <c r="CA10" t="s">
        <v>266</v>
      </c>
      <c r="CB10" t="s">
        <v>267</v>
      </c>
      <c r="CC10" t="s">
        <v>268</v>
      </c>
      <c r="CD10" t="s">
        <v>141</v>
      </c>
      <c r="CE10" t="s">
        <v>269</v>
      </c>
      <c r="CF10" t="s">
        <v>153</v>
      </c>
      <c r="CI10" t="str">
        <f t="shared" si="0"/>
        <v>0</v>
      </c>
      <c r="CL10" t="s">
        <v>131</v>
      </c>
      <c r="CN10" t="s">
        <v>132</v>
      </c>
      <c r="CO10" t="s">
        <v>118</v>
      </c>
    </row>
    <row r="11" spans="1:103" hidden="1" x14ac:dyDescent="0.3">
      <c r="A11">
        <v>180661</v>
      </c>
      <c r="B11">
        <v>155756</v>
      </c>
      <c r="C11" t="str">
        <f>"830202450182"</f>
        <v>830202450182</v>
      </c>
      <c r="D11" t="s">
        <v>270</v>
      </c>
      <c r="E11" t="s">
        <v>271</v>
      </c>
      <c r="F11" t="s">
        <v>272</v>
      </c>
      <c r="G11" s="1">
        <v>30349</v>
      </c>
      <c r="I11" t="s">
        <v>106</v>
      </c>
      <c r="J11" t="s">
        <v>107</v>
      </c>
      <c r="K11" t="s">
        <v>273</v>
      </c>
      <c r="P11" t="s">
        <v>109</v>
      </c>
      <c r="W11" t="str">
        <f>"2017-09-02T00:00:00"</f>
        <v>2017-09-02T00:00:00</v>
      </c>
      <c r="X11" t="str">
        <f>"151"</f>
        <v>151</v>
      </c>
      <c r="Z11" t="s">
        <v>110</v>
      </c>
      <c r="AA11" t="s">
        <v>111</v>
      </c>
      <c r="AE11" t="s">
        <v>138</v>
      </c>
      <c r="AF11" t="s">
        <v>176</v>
      </c>
      <c r="AG11">
        <v>1</v>
      </c>
      <c r="AH11" t="s">
        <v>114</v>
      </c>
      <c r="AI11" t="s">
        <v>115</v>
      </c>
      <c r="AJ11" t="s">
        <v>116</v>
      </c>
      <c r="AN11" t="s">
        <v>117</v>
      </c>
      <c r="AO11" t="s">
        <v>118</v>
      </c>
      <c r="AP11" t="str">
        <f>"9"</f>
        <v>9</v>
      </c>
      <c r="AQ11" t="str">
        <f>"15"</f>
        <v>15</v>
      </c>
      <c r="AR11" t="str">
        <f>"12"</f>
        <v>12</v>
      </c>
      <c r="AS11" t="str">
        <f>"12"</f>
        <v>12</v>
      </c>
      <c r="AT11" t="str">
        <f>"6"</f>
        <v>6</v>
      </c>
      <c r="AU11" t="str">
        <f>"tmantaridi@mail.ru"</f>
        <v>tmantaridi@mail.ru</v>
      </c>
      <c r="AV11" t="str">
        <f>"87754727187"</f>
        <v>87754727187</v>
      </c>
      <c r="AW11" t="s">
        <v>159</v>
      </c>
      <c r="AX11" t="s">
        <v>209</v>
      </c>
      <c r="AZ11" t="s">
        <v>211</v>
      </c>
      <c r="BH11" t="s">
        <v>274</v>
      </c>
      <c r="BI11">
        <v>0.5</v>
      </c>
      <c r="BN11" t="s">
        <v>275</v>
      </c>
      <c r="BR11" t="s">
        <v>131</v>
      </c>
      <c r="BU11" t="s">
        <v>276</v>
      </c>
      <c r="BV11" t="s">
        <v>277</v>
      </c>
      <c r="BW11" t="s">
        <v>278</v>
      </c>
      <c r="BX11" t="s">
        <v>250</v>
      </c>
      <c r="BY11" t="s">
        <v>279</v>
      </c>
      <c r="BZ11" t="s">
        <v>280</v>
      </c>
      <c r="CA11" t="s">
        <v>281</v>
      </c>
      <c r="CB11" t="s">
        <v>282</v>
      </c>
      <c r="CC11" t="s">
        <v>283</v>
      </c>
      <c r="CD11" t="s">
        <v>171</v>
      </c>
      <c r="CE11" t="s">
        <v>284</v>
      </c>
      <c r="CI11" t="str">
        <f t="shared" si="0"/>
        <v>0</v>
      </c>
      <c r="CL11" t="s">
        <v>136</v>
      </c>
      <c r="CN11" t="s">
        <v>132</v>
      </c>
      <c r="CO11" t="s">
        <v>185</v>
      </c>
    </row>
    <row r="12" spans="1:103" hidden="1" x14ac:dyDescent="0.3">
      <c r="A12">
        <v>180685</v>
      </c>
      <c r="B12">
        <v>155776</v>
      </c>
      <c r="C12" t="str">
        <f>"950614450711"</f>
        <v>950614450711</v>
      </c>
      <c r="D12" t="s">
        <v>285</v>
      </c>
      <c r="E12" t="s">
        <v>286</v>
      </c>
      <c r="F12" t="s">
        <v>287</v>
      </c>
      <c r="G12" s="1">
        <v>34864</v>
      </c>
      <c r="I12" t="s">
        <v>106</v>
      </c>
      <c r="J12" t="s">
        <v>107</v>
      </c>
      <c r="K12" t="s">
        <v>108</v>
      </c>
      <c r="P12" t="s">
        <v>109</v>
      </c>
      <c r="W12" t="str">
        <f>"2017-12-14T00:00:00"</f>
        <v>2017-12-14T00:00:00</v>
      </c>
      <c r="X12" t="str">
        <f>"245"</f>
        <v>245</v>
      </c>
      <c r="Z12" t="s">
        <v>175</v>
      </c>
      <c r="AA12" t="s">
        <v>111</v>
      </c>
      <c r="AE12" t="s">
        <v>112</v>
      </c>
      <c r="AF12" t="s">
        <v>113</v>
      </c>
      <c r="AG12">
        <v>0</v>
      </c>
      <c r="AH12" t="s">
        <v>114</v>
      </c>
      <c r="AI12" t="s">
        <v>115</v>
      </c>
      <c r="AJ12" t="s">
        <v>116</v>
      </c>
      <c r="AN12" t="s">
        <v>117</v>
      </c>
      <c r="AO12" t="s">
        <v>118</v>
      </c>
      <c r="AP12" t="str">
        <f>"0"</f>
        <v>0</v>
      </c>
      <c r="AQ12" t="str">
        <f>"5"</f>
        <v>5</v>
      </c>
      <c r="AR12" t="str">
        <f>"3"</f>
        <v>3</v>
      </c>
      <c r="AS12" t="str">
        <f>"3"</f>
        <v>3</v>
      </c>
      <c r="AT12" t="str">
        <f>"5"</f>
        <v>5</v>
      </c>
      <c r="AU12" t="str">
        <f>"Alina.Askarova@mail.ru"</f>
        <v>Alina.Askarova@mail.ru</v>
      </c>
      <c r="AV12" t="str">
        <f>"87477524387"</f>
        <v>87477524387</v>
      </c>
      <c r="AW12" t="s">
        <v>159</v>
      </c>
      <c r="AX12" t="s">
        <v>140</v>
      </c>
      <c r="AZ12" t="s">
        <v>211</v>
      </c>
      <c r="BD12" t="s">
        <v>288</v>
      </c>
      <c r="BE12" t="s">
        <v>122</v>
      </c>
      <c r="BF12">
        <v>0</v>
      </c>
      <c r="BG12" t="str">
        <f>"[0]"</f>
        <v>[0]</v>
      </c>
      <c r="BH12" t="s">
        <v>118</v>
      </c>
      <c r="BI12">
        <v>0</v>
      </c>
      <c r="BU12" t="s">
        <v>289</v>
      </c>
      <c r="BV12" t="s">
        <v>290</v>
      </c>
      <c r="BW12" t="s">
        <v>291</v>
      </c>
      <c r="BX12" t="s">
        <v>292</v>
      </c>
      <c r="BY12" t="s">
        <v>293</v>
      </c>
      <c r="BZ12" t="s">
        <v>294</v>
      </c>
      <c r="CA12" t="s">
        <v>295</v>
      </c>
      <c r="CB12" t="s">
        <v>296</v>
      </c>
      <c r="CC12" t="s">
        <v>297</v>
      </c>
      <c r="CD12" t="s">
        <v>171</v>
      </c>
      <c r="CE12" t="s">
        <v>130</v>
      </c>
      <c r="CI12" t="str">
        <f t="shared" si="0"/>
        <v>0</v>
      </c>
      <c r="CL12" t="s">
        <v>131</v>
      </c>
      <c r="CN12" t="s">
        <v>132</v>
      </c>
      <c r="CO12" t="s">
        <v>185</v>
      </c>
    </row>
    <row r="13" spans="1:103" hidden="1" x14ac:dyDescent="0.3">
      <c r="A13">
        <v>180703</v>
      </c>
      <c r="B13">
        <v>155790</v>
      </c>
      <c r="C13" t="str">
        <f>"960928451372"</f>
        <v>960928451372</v>
      </c>
      <c r="D13" t="s">
        <v>298</v>
      </c>
      <c r="E13" t="s">
        <v>299</v>
      </c>
      <c r="F13" t="s">
        <v>272</v>
      </c>
      <c r="G13" s="1">
        <v>35336</v>
      </c>
      <c r="I13" t="s">
        <v>106</v>
      </c>
      <c r="J13" t="s">
        <v>107</v>
      </c>
      <c r="K13" t="s">
        <v>205</v>
      </c>
      <c r="P13" t="s">
        <v>109</v>
      </c>
      <c r="W13" t="str">
        <f>"2018-08-16T00:00:00"</f>
        <v>2018-08-16T00:00:00</v>
      </c>
      <c r="X13" t="str">
        <f>"192"</f>
        <v>192</v>
      </c>
      <c r="Z13" t="s">
        <v>175</v>
      </c>
      <c r="AA13" t="s">
        <v>111</v>
      </c>
      <c r="AE13" t="s">
        <v>138</v>
      </c>
      <c r="AF13" t="s">
        <v>207</v>
      </c>
      <c r="AG13">
        <v>1.1000000000000001</v>
      </c>
      <c r="AH13" t="s">
        <v>114</v>
      </c>
      <c r="AI13" t="s">
        <v>115</v>
      </c>
      <c r="AJ13" t="s">
        <v>116</v>
      </c>
      <c r="AN13" t="s">
        <v>117</v>
      </c>
      <c r="AO13" t="s">
        <v>118</v>
      </c>
      <c r="AP13" t="str">
        <f>"0"</f>
        <v>0</v>
      </c>
      <c r="AQ13" t="str">
        <f>"5"</f>
        <v>5</v>
      </c>
      <c r="AR13" t="str">
        <f>"5"</f>
        <v>5</v>
      </c>
      <c r="AS13" t="str">
        <f>"5"</f>
        <v>5</v>
      </c>
      <c r="AT13" t="str">
        <f>"5"</f>
        <v>5</v>
      </c>
      <c r="AU13" t="str">
        <f>"Irina.zeib2@mail.ru"</f>
        <v>Irina.zeib2@mail.ru</v>
      </c>
      <c r="AV13" t="str">
        <f>"87478094625"</f>
        <v>87478094625</v>
      </c>
      <c r="AW13" t="s">
        <v>119</v>
      </c>
      <c r="AZ13" t="s">
        <v>211</v>
      </c>
      <c r="BD13" t="s">
        <v>212</v>
      </c>
      <c r="BE13" t="s">
        <v>122</v>
      </c>
      <c r="BF13">
        <v>1.1000000000000001</v>
      </c>
      <c r="BG13" t="str">
        <f>"[19]"</f>
        <v>[19]</v>
      </c>
      <c r="BH13" t="s">
        <v>118</v>
      </c>
      <c r="BI13">
        <v>0</v>
      </c>
      <c r="BN13" t="s">
        <v>161</v>
      </c>
      <c r="BR13" t="s">
        <v>131</v>
      </c>
      <c r="BU13" t="s">
        <v>300</v>
      </c>
      <c r="BV13" t="s">
        <v>301</v>
      </c>
      <c r="BW13" t="s">
        <v>302</v>
      </c>
      <c r="BX13" t="s">
        <v>292</v>
      </c>
      <c r="BY13" t="s">
        <v>293</v>
      </c>
      <c r="BZ13" t="s">
        <v>303</v>
      </c>
      <c r="CA13" t="s">
        <v>304</v>
      </c>
      <c r="CB13" t="s">
        <v>305</v>
      </c>
      <c r="CC13" t="s">
        <v>306</v>
      </c>
      <c r="CD13" t="s">
        <v>171</v>
      </c>
      <c r="CE13" t="s">
        <v>243</v>
      </c>
      <c r="CF13" s="2">
        <v>45383</v>
      </c>
      <c r="CI13" t="str">
        <f t="shared" si="0"/>
        <v>0</v>
      </c>
      <c r="CL13" t="s">
        <v>131</v>
      </c>
      <c r="CN13" t="s">
        <v>132</v>
      </c>
      <c r="CO13" t="s">
        <v>118</v>
      </c>
    </row>
    <row r="14" spans="1:103" hidden="1" x14ac:dyDescent="0.3">
      <c r="A14">
        <v>180710</v>
      </c>
      <c r="B14">
        <v>155797</v>
      </c>
      <c r="C14" t="str">
        <f>"941204451266"</f>
        <v>941204451266</v>
      </c>
      <c r="D14" t="s">
        <v>307</v>
      </c>
      <c r="E14" t="s">
        <v>246</v>
      </c>
      <c r="F14" t="s">
        <v>308</v>
      </c>
      <c r="G14" s="1">
        <v>34672</v>
      </c>
      <c r="I14" t="s">
        <v>106</v>
      </c>
      <c r="J14" t="s">
        <v>107</v>
      </c>
      <c r="K14" t="s">
        <v>108</v>
      </c>
      <c r="P14" t="s">
        <v>109</v>
      </c>
      <c r="W14" t="str">
        <f>"2017-09-18T00:00:00"</f>
        <v>2017-09-18T00:00:00</v>
      </c>
      <c r="X14" t="str">
        <f>"180"</f>
        <v>180</v>
      </c>
      <c r="Z14" t="s">
        <v>206</v>
      </c>
      <c r="AA14" t="s">
        <v>111</v>
      </c>
      <c r="AE14" t="s">
        <v>138</v>
      </c>
      <c r="AF14" t="s">
        <v>113</v>
      </c>
      <c r="AG14">
        <v>1.5</v>
      </c>
      <c r="AH14" t="s">
        <v>114</v>
      </c>
      <c r="AI14" t="s">
        <v>115</v>
      </c>
      <c r="AJ14" t="s">
        <v>116</v>
      </c>
      <c r="AN14" t="s">
        <v>117</v>
      </c>
      <c r="AO14" t="s">
        <v>118</v>
      </c>
      <c r="AP14" t="str">
        <f>"1"</f>
        <v>1</v>
      </c>
      <c r="AQ14" t="str">
        <f>"7"</f>
        <v>7</v>
      </c>
      <c r="AR14" t="str">
        <f>"6"</f>
        <v>6</v>
      </c>
      <c r="AS14" t="str">
        <f>"6"</f>
        <v>6</v>
      </c>
      <c r="AT14" t="str">
        <f>"6"</f>
        <v>6</v>
      </c>
      <c r="AU14" t="str">
        <f>"Shomatovaaltyn@mail.ru"</f>
        <v>Shomatovaaltyn@mail.ru</v>
      </c>
      <c r="AV14" t="str">
        <f>"87474535772"</f>
        <v>87474535772</v>
      </c>
      <c r="AW14" t="s">
        <v>159</v>
      </c>
      <c r="AX14" t="s">
        <v>232</v>
      </c>
      <c r="AZ14" t="s">
        <v>120</v>
      </c>
      <c r="BD14" t="s">
        <v>141</v>
      </c>
      <c r="BE14" t="s">
        <v>122</v>
      </c>
      <c r="BF14">
        <v>1.5</v>
      </c>
      <c r="BG14" t="str">
        <f>"[24]"</f>
        <v>[24]</v>
      </c>
      <c r="BH14" t="s">
        <v>118</v>
      </c>
      <c r="BI14">
        <v>0</v>
      </c>
      <c r="BN14" t="s">
        <v>161</v>
      </c>
      <c r="BR14" t="s">
        <v>131</v>
      </c>
      <c r="BU14" t="s">
        <v>215</v>
      </c>
      <c r="BV14" t="s">
        <v>309</v>
      </c>
      <c r="BW14" t="s">
        <v>310</v>
      </c>
      <c r="BX14" t="s">
        <v>218</v>
      </c>
      <c r="BY14" t="s">
        <v>311</v>
      </c>
      <c r="BZ14" t="s">
        <v>312</v>
      </c>
      <c r="CA14" t="s">
        <v>313</v>
      </c>
      <c r="CB14" t="s">
        <v>314</v>
      </c>
      <c r="CC14" t="s">
        <v>315</v>
      </c>
      <c r="CD14" t="s">
        <v>171</v>
      </c>
      <c r="CE14" t="s">
        <v>316</v>
      </c>
      <c r="CF14" s="2">
        <v>45383</v>
      </c>
      <c r="CI14" t="str">
        <f t="shared" si="0"/>
        <v>0</v>
      </c>
      <c r="CL14" t="s">
        <v>131</v>
      </c>
      <c r="CN14" t="s">
        <v>132</v>
      </c>
      <c r="CO14" t="s">
        <v>185</v>
      </c>
    </row>
    <row r="15" spans="1:103" hidden="1" x14ac:dyDescent="0.3">
      <c r="A15">
        <v>180730</v>
      </c>
      <c r="B15">
        <v>155812</v>
      </c>
      <c r="C15" t="str">
        <f>"470702450302"</f>
        <v>470702450302</v>
      </c>
      <c r="D15" t="s">
        <v>317</v>
      </c>
      <c r="E15" t="s">
        <v>318</v>
      </c>
      <c r="F15" t="s">
        <v>319</v>
      </c>
      <c r="G15" s="1">
        <v>17350</v>
      </c>
      <c r="I15" t="s">
        <v>106</v>
      </c>
      <c r="J15" t="s">
        <v>107</v>
      </c>
      <c r="K15" t="s">
        <v>205</v>
      </c>
      <c r="P15" t="s">
        <v>109</v>
      </c>
      <c r="W15" t="str">
        <f>"1985-10-14T00:00:00"</f>
        <v>1985-10-14T00:00:00</v>
      </c>
      <c r="X15" t="str">
        <f>"81"</f>
        <v>81</v>
      </c>
      <c r="Z15" t="s">
        <v>137</v>
      </c>
      <c r="AA15" t="s">
        <v>111</v>
      </c>
      <c r="AE15" t="s">
        <v>138</v>
      </c>
      <c r="AF15" t="s">
        <v>113</v>
      </c>
      <c r="AG15">
        <v>0.6</v>
      </c>
      <c r="AH15" t="s">
        <v>114</v>
      </c>
      <c r="AI15" t="s">
        <v>115</v>
      </c>
      <c r="AJ15" t="s">
        <v>116</v>
      </c>
      <c r="AN15" t="s">
        <v>117</v>
      </c>
      <c r="AO15" t="s">
        <v>118</v>
      </c>
      <c r="AP15" t="str">
        <f>"16"</f>
        <v>16</v>
      </c>
      <c r="AQ15" t="str">
        <f>"54"</f>
        <v>54</v>
      </c>
      <c r="AR15" t="str">
        <f>"53"</f>
        <v>53</v>
      </c>
      <c r="AS15" t="str">
        <f>"53"</f>
        <v>53</v>
      </c>
      <c r="AT15" t="str">
        <f>"38"</f>
        <v>38</v>
      </c>
      <c r="AU15" t="str">
        <f>"borisova.valentina3@mail.ru"</f>
        <v>borisova.valentina3@mail.ru</v>
      </c>
      <c r="AV15" t="str">
        <f>"87753345904"</f>
        <v>87753345904</v>
      </c>
      <c r="AW15" t="s">
        <v>119</v>
      </c>
      <c r="AZ15" t="s">
        <v>211</v>
      </c>
      <c r="BD15" t="s">
        <v>320</v>
      </c>
      <c r="BE15" t="s">
        <v>122</v>
      </c>
      <c r="BF15">
        <v>0.6</v>
      </c>
      <c r="BG15" t="str">
        <f>"[10]"</f>
        <v>[10]</v>
      </c>
      <c r="BH15" t="s">
        <v>118</v>
      </c>
      <c r="BI15">
        <v>0</v>
      </c>
      <c r="BN15" t="s">
        <v>142</v>
      </c>
      <c r="BR15" t="s">
        <v>131</v>
      </c>
      <c r="BU15" t="s">
        <v>300</v>
      </c>
      <c r="BV15" t="s">
        <v>321</v>
      </c>
      <c r="BW15" t="s">
        <v>291</v>
      </c>
      <c r="BX15" t="s">
        <v>322</v>
      </c>
      <c r="BY15" t="s">
        <v>293</v>
      </c>
      <c r="BZ15" t="s">
        <v>294</v>
      </c>
      <c r="CA15" t="s">
        <v>323</v>
      </c>
      <c r="CB15" t="s">
        <v>324</v>
      </c>
      <c r="CC15" t="s">
        <v>325</v>
      </c>
      <c r="CD15" t="s">
        <v>171</v>
      </c>
      <c r="CE15" t="s">
        <v>326</v>
      </c>
      <c r="CF15" t="s">
        <v>153</v>
      </c>
      <c r="CI15" t="str">
        <f t="shared" si="0"/>
        <v>0</v>
      </c>
      <c r="CL15" t="s">
        <v>136</v>
      </c>
      <c r="CN15" t="s">
        <v>132</v>
      </c>
      <c r="CO15" t="s">
        <v>118</v>
      </c>
    </row>
    <row r="16" spans="1:103" hidden="1" x14ac:dyDescent="0.3">
      <c r="A16">
        <v>180763</v>
      </c>
      <c r="B16">
        <v>155834</v>
      </c>
      <c r="C16" t="str">
        <f>"620825401910"</f>
        <v>620825401910</v>
      </c>
      <c r="D16" t="s">
        <v>327</v>
      </c>
      <c r="E16" t="s">
        <v>328</v>
      </c>
      <c r="F16" t="s">
        <v>329</v>
      </c>
      <c r="G16" s="1">
        <v>22883</v>
      </c>
      <c r="I16" t="s">
        <v>106</v>
      </c>
      <c r="J16" t="s">
        <v>107</v>
      </c>
      <c r="K16" t="s">
        <v>273</v>
      </c>
      <c r="P16" t="s">
        <v>109</v>
      </c>
      <c r="Q16" t="s">
        <v>136</v>
      </c>
      <c r="W16" t="str">
        <f>"1993-09-01T00:00:00"</f>
        <v>1993-09-01T00:00:00</v>
      </c>
      <c r="X16" t="str">
        <f>"174"</f>
        <v>174</v>
      </c>
      <c r="Z16" t="s">
        <v>110</v>
      </c>
      <c r="AA16" t="s">
        <v>111</v>
      </c>
      <c r="AE16" t="s">
        <v>138</v>
      </c>
      <c r="AF16" t="s">
        <v>207</v>
      </c>
      <c r="AG16">
        <v>1.1000000000000001</v>
      </c>
      <c r="AH16" t="s">
        <v>114</v>
      </c>
      <c r="AI16" t="s">
        <v>115</v>
      </c>
      <c r="AJ16" t="s">
        <v>116</v>
      </c>
      <c r="AN16" t="s">
        <v>117</v>
      </c>
      <c r="AO16" t="s">
        <v>118</v>
      </c>
      <c r="AP16" t="str">
        <f>"10"</f>
        <v>10</v>
      </c>
      <c r="AQ16" t="str">
        <f>"40"</f>
        <v>40</v>
      </c>
      <c r="AR16" t="str">
        <f>"40"</f>
        <v>40</v>
      </c>
      <c r="AS16" t="str">
        <f>"40"</f>
        <v>40</v>
      </c>
      <c r="AT16" t="str">
        <f>"30"</f>
        <v>30</v>
      </c>
      <c r="AU16" t="str">
        <f>"nina.goncharova.2012@mail.ru"</f>
        <v>nina.goncharova.2012@mail.ru</v>
      </c>
      <c r="AV16" t="str">
        <f>"87012982150"</f>
        <v>87012982150</v>
      </c>
      <c r="AW16" t="s">
        <v>119</v>
      </c>
      <c r="AX16" t="s">
        <v>330</v>
      </c>
      <c r="AZ16" t="s">
        <v>211</v>
      </c>
      <c r="BD16" t="s">
        <v>212</v>
      </c>
      <c r="BE16" t="s">
        <v>122</v>
      </c>
      <c r="BF16">
        <v>1.1000000000000001</v>
      </c>
      <c r="BG16" t="str">
        <f>"[18]"</f>
        <v>[18]</v>
      </c>
      <c r="BH16" t="s">
        <v>118</v>
      </c>
      <c r="BI16">
        <v>0</v>
      </c>
      <c r="BN16" t="s">
        <v>142</v>
      </c>
      <c r="BR16" t="s">
        <v>131</v>
      </c>
      <c r="BU16" t="s">
        <v>331</v>
      </c>
      <c r="BV16" t="s">
        <v>332</v>
      </c>
      <c r="BW16" t="s">
        <v>333</v>
      </c>
      <c r="BX16" t="s">
        <v>292</v>
      </c>
      <c r="BY16" t="s">
        <v>293</v>
      </c>
      <c r="BZ16" t="s">
        <v>334</v>
      </c>
      <c r="CA16" t="s">
        <v>335</v>
      </c>
      <c r="CB16" t="s">
        <v>336</v>
      </c>
      <c r="CC16" t="s">
        <v>337</v>
      </c>
      <c r="CD16" t="s">
        <v>212</v>
      </c>
      <c r="CE16" t="s">
        <v>338</v>
      </c>
      <c r="CF16" s="2">
        <v>45383</v>
      </c>
      <c r="CI16" t="str">
        <f t="shared" si="0"/>
        <v>0</v>
      </c>
      <c r="CL16" t="s">
        <v>131</v>
      </c>
      <c r="CN16" t="s">
        <v>132</v>
      </c>
      <c r="CO16" t="s">
        <v>118</v>
      </c>
    </row>
    <row r="17" spans="1:93" hidden="1" x14ac:dyDescent="0.3">
      <c r="A17">
        <v>180770</v>
      </c>
      <c r="B17">
        <v>155837</v>
      </c>
      <c r="C17" t="str">
        <f>"670308401245"</f>
        <v>670308401245</v>
      </c>
      <c r="D17" t="s">
        <v>339</v>
      </c>
      <c r="E17" t="s">
        <v>340</v>
      </c>
      <c r="F17" t="s">
        <v>341</v>
      </c>
      <c r="G17" s="1">
        <v>24539</v>
      </c>
      <c r="I17" t="s">
        <v>106</v>
      </c>
      <c r="J17" t="s">
        <v>107</v>
      </c>
      <c r="K17" t="s">
        <v>273</v>
      </c>
      <c r="P17" t="s">
        <v>109</v>
      </c>
      <c r="Q17" t="s">
        <v>136</v>
      </c>
      <c r="W17" t="str">
        <f>"1992-03-20T00:00:00"</f>
        <v>1992-03-20T00:00:00</v>
      </c>
      <c r="X17" t="str">
        <f>"69"</f>
        <v>69</v>
      </c>
      <c r="Z17" t="s">
        <v>342</v>
      </c>
      <c r="AA17" t="s">
        <v>111</v>
      </c>
      <c r="AE17" t="s">
        <v>138</v>
      </c>
      <c r="AF17" t="s">
        <v>113</v>
      </c>
      <c r="AG17">
        <v>1.5</v>
      </c>
      <c r="AH17" t="s">
        <v>114</v>
      </c>
      <c r="AI17" t="s">
        <v>115</v>
      </c>
      <c r="AJ17" t="s">
        <v>116</v>
      </c>
      <c r="AN17" t="s">
        <v>117</v>
      </c>
      <c r="AO17" t="s">
        <v>118</v>
      </c>
      <c r="AP17" t="str">
        <f>"3"</f>
        <v>3</v>
      </c>
      <c r="AQ17" t="str">
        <f>"34"</f>
        <v>34</v>
      </c>
      <c r="AR17" t="str">
        <f>"33"</f>
        <v>33</v>
      </c>
      <c r="AS17" t="str">
        <f>"33"</f>
        <v>33</v>
      </c>
      <c r="AT17" t="str">
        <f>"31"</f>
        <v>31</v>
      </c>
      <c r="AU17" t="str">
        <f>"lusi.08@mail.ru"</f>
        <v>lusi.08@mail.ru</v>
      </c>
      <c r="AV17" t="str">
        <f>"87083276204"</f>
        <v>87083276204</v>
      </c>
      <c r="AW17" t="s">
        <v>139</v>
      </c>
      <c r="AX17" t="s">
        <v>232</v>
      </c>
      <c r="AZ17" t="s">
        <v>211</v>
      </c>
      <c r="BD17" t="s">
        <v>343</v>
      </c>
      <c r="BE17" t="s">
        <v>122</v>
      </c>
      <c r="BF17">
        <v>1.5</v>
      </c>
      <c r="BG17" t="str">
        <f>"[24]"</f>
        <v>[24]</v>
      </c>
      <c r="BH17" t="s">
        <v>118</v>
      </c>
      <c r="BI17">
        <v>0</v>
      </c>
      <c r="BN17" t="s">
        <v>161</v>
      </c>
      <c r="BR17" t="s">
        <v>131</v>
      </c>
      <c r="BU17" t="s">
        <v>178</v>
      </c>
      <c r="BV17" t="s">
        <v>344</v>
      </c>
      <c r="BW17" t="s">
        <v>345</v>
      </c>
      <c r="BX17" t="s">
        <v>146</v>
      </c>
      <c r="BY17" t="s">
        <v>346</v>
      </c>
      <c r="BZ17" t="s">
        <v>347</v>
      </c>
      <c r="CA17" t="s">
        <v>348</v>
      </c>
      <c r="CB17" t="s">
        <v>349</v>
      </c>
      <c r="CC17" t="s">
        <v>350</v>
      </c>
      <c r="CD17" t="s">
        <v>343</v>
      </c>
      <c r="CE17" t="s">
        <v>351</v>
      </c>
      <c r="CF17" t="s">
        <v>153</v>
      </c>
      <c r="CI17" t="str">
        <f t="shared" si="0"/>
        <v>0</v>
      </c>
      <c r="CL17" t="s">
        <v>131</v>
      </c>
      <c r="CN17" t="s">
        <v>132</v>
      </c>
      <c r="CO17" t="s">
        <v>118</v>
      </c>
    </row>
    <row r="18" spans="1:93" hidden="1" x14ac:dyDescent="0.3">
      <c r="A18">
        <v>180791</v>
      </c>
      <c r="B18">
        <v>155856</v>
      </c>
      <c r="C18" t="str">
        <f>"630215450032"</f>
        <v>630215450032</v>
      </c>
      <c r="D18" t="s">
        <v>352</v>
      </c>
      <c r="E18" t="s">
        <v>353</v>
      </c>
      <c r="F18" t="s">
        <v>354</v>
      </c>
      <c r="G18" s="1">
        <v>23057</v>
      </c>
      <c r="I18" t="s">
        <v>106</v>
      </c>
      <c r="J18" t="s">
        <v>107</v>
      </c>
      <c r="K18" t="s">
        <v>108</v>
      </c>
      <c r="P18" t="s">
        <v>109</v>
      </c>
      <c r="W18" t="str">
        <f>"1987-08-25T00:00:00"</f>
        <v>1987-08-25T00:00:00</v>
      </c>
      <c r="X18" t="str">
        <f>"143/8"</f>
        <v>143/8</v>
      </c>
      <c r="Z18" t="s">
        <v>175</v>
      </c>
      <c r="AA18" t="s">
        <v>111</v>
      </c>
      <c r="AE18" t="s">
        <v>138</v>
      </c>
      <c r="AF18" t="s">
        <v>113</v>
      </c>
      <c r="AG18">
        <v>1.5</v>
      </c>
      <c r="AH18" t="s">
        <v>114</v>
      </c>
      <c r="AI18" t="s">
        <v>115</v>
      </c>
      <c r="AJ18" t="s">
        <v>116</v>
      </c>
      <c r="AN18" t="s">
        <v>117</v>
      </c>
      <c r="AO18" t="s">
        <v>118</v>
      </c>
      <c r="AP18" t="str">
        <f>"0"</f>
        <v>0</v>
      </c>
      <c r="AQ18" t="str">
        <f>"36"</f>
        <v>36</v>
      </c>
      <c r="AR18" t="str">
        <f>"36"</f>
        <v>36</v>
      </c>
      <c r="AS18" t="str">
        <f>"36"</f>
        <v>36</v>
      </c>
      <c r="AT18" t="str">
        <f>"36"</f>
        <v>36</v>
      </c>
      <c r="AU18" t="str">
        <f>"kakimovant@mail.ru"</f>
        <v>kakimovant@mail.ru</v>
      </c>
      <c r="AV18" t="str">
        <f>"87472258992"</f>
        <v>87472258992</v>
      </c>
      <c r="AW18" t="s">
        <v>231</v>
      </c>
      <c r="AX18" t="s">
        <v>232</v>
      </c>
      <c r="AZ18" t="s">
        <v>211</v>
      </c>
      <c r="BD18" t="s">
        <v>355</v>
      </c>
      <c r="BE18" t="s">
        <v>122</v>
      </c>
      <c r="BF18">
        <v>1.5</v>
      </c>
      <c r="BG18" t="str">
        <f>"[24]"</f>
        <v>[24]</v>
      </c>
      <c r="BH18" t="s">
        <v>118</v>
      </c>
      <c r="BI18">
        <v>0</v>
      </c>
      <c r="BN18" t="s">
        <v>161</v>
      </c>
      <c r="BR18" t="s">
        <v>131</v>
      </c>
      <c r="BU18" t="s">
        <v>356</v>
      </c>
      <c r="BV18" t="s">
        <v>357</v>
      </c>
      <c r="BW18" t="s">
        <v>358</v>
      </c>
      <c r="BX18" t="s">
        <v>359</v>
      </c>
      <c r="BY18" t="s">
        <v>360</v>
      </c>
      <c r="BZ18" t="s">
        <v>361</v>
      </c>
      <c r="CA18" t="s">
        <v>362</v>
      </c>
      <c r="CB18" t="s">
        <v>363</v>
      </c>
      <c r="CC18" t="s">
        <v>364</v>
      </c>
      <c r="CD18" t="s">
        <v>355</v>
      </c>
      <c r="CE18" t="s">
        <v>365</v>
      </c>
      <c r="CF18" t="s">
        <v>153</v>
      </c>
      <c r="CI18" t="str">
        <f t="shared" si="0"/>
        <v>0</v>
      </c>
      <c r="CL18" t="s">
        <v>131</v>
      </c>
      <c r="CN18" t="s">
        <v>132</v>
      </c>
      <c r="CO18" t="s">
        <v>118</v>
      </c>
    </row>
    <row r="19" spans="1:93" hidden="1" x14ac:dyDescent="0.3">
      <c r="A19">
        <v>180818</v>
      </c>
      <c r="B19">
        <v>155880</v>
      </c>
      <c r="C19" t="str">
        <f>"620817450132"</f>
        <v>620817450132</v>
      </c>
      <c r="D19" t="s">
        <v>366</v>
      </c>
      <c r="E19" t="s">
        <v>367</v>
      </c>
      <c r="F19" t="s">
        <v>368</v>
      </c>
      <c r="G19" s="1">
        <v>22875</v>
      </c>
      <c r="I19" t="s">
        <v>106</v>
      </c>
      <c r="J19" t="s">
        <v>107</v>
      </c>
      <c r="K19" t="s">
        <v>205</v>
      </c>
      <c r="P19" t="s">
        <v>109</v>
      </c>
      <c r="W19" t="str">
        <f>"1987-08-24T00:00:00"</f>
        <v>1987-08-24T00:00:00</v>
      </c>
      <c r="X19" t="str">
        <f>"150/4"</f>
        <v>150/4</v>
      </c>
      <c r="Z19" t="s">
        <v>110</v>
      </c>
      <c r="AA19" t="s">
        <v>111</v>
      </c>
      <c r="AE19" t="s">
        <v>138</v>
      </c>
      <c r="AF19" t="s">
        <v>113</v>
      </c>
      <c r="AG19">
        <v>1.5</v>
      </c>
      <c r="AH19" t="s">
        <v>114</v>
      </c>
      <c r="AI19" t="s">
        <v>115</v>
      </c>
      <c r="AJ19" t="s">
        <v>116</v>
      </c>
      <c r="AN19" t="s">
        <v>117</v>
      </c>
      <c r="AO19" t="s">
        <v>118</v>
      </c>
      <c r="AP19" t="str">
        <f>"3"</f>
        <v>3</v>
      </c>
      <c r="AQ19" t="str">
        <f>"39"</f>
        <v>39</v>
      </c>
      <c r="AR19" t="str">
        <f>"39"</f>
        <v>39</v>
      </c>
      <c r="AS19" t="str">
        <f>"39"</f>
        <v>39</v>
      </c>
      <c r="AT19" t="str">
        <f>"36"</f>
        <v>36</v>
      </c>
      <c r="AU19" t="str">
        <f>"natalia_17_08_62@mair.ru"</f>
        <v>natalia_17_08_62@mair.ru</v>
      </c>
      <c r="AV19" t="str">
        <f>"87779835801"</f>
        <v>87779835801</v>
      </c>
      <c r="AW19" t="s">
        <v>119</v>
      </c>
      <c r="AX19" t="s">
        <v>330</v>
      </c>
      <c r="AZ19" t="s">
        <v>211</v>
      </c>
      <c r="BD19" t="s">
        <v>320</v>
      </c>
      <c r="BE19" t="s">
        <v>122</v>
      </c>
      <c r="BF19">
        <v>1.5</v>
      </c>
      <c r="BG19" t="str">
        <f>"[24]"</f>
        <v>[24]</v>
      </c>
      <c r="BH19" t="s">
        <v>118</v>
      </c>
      <c r="BI19">
        <v>0</v>
      </c>
      <c r="BN19" t="s">
        <v>275</v>
      </c>
      <c r="BR19" t="s">
        <v>131</v>
      </c>
      <c r="BU19" t="s">
        <v>331</v>
      </c>
      <c r="BV19" t="s">
        <v>321</v>
      </c>
      <c r="BW19" t="s">
        <v>333</v>
      </c>
      <c r="BX19" t="s">
        <v>292</v>
      </c>
      <c r="BY19" t="s">
        <v>293</v>
      </c>
      <c r="BZ19" t="s">
        <v>369</v>
      </c>
      <c r="CA19" t="s">
        <v>370</v>
      </c>
      <c r="CB19" t="s">
        <v>371</v>
      </c>
      <c r="CC19" t="s">
        <v>372</v>
      </c>
      <c r="CD19" t="s">
        <v>320</v>
      </c>
      <c r="CE19" t="s">
        <v>373</v>
      </c>
      <c r="CF19" t="s">
        <v>153</v>
      </c>
      <c r="CI19" t="str">
        <f t="shared" si="0"/>
        <v>0</v>
      </c>
      <c r="CL19" t="s">
        <v>136</v>
      </c>
      <c r="CN19" t="s">
        <v>132</v>
      </c>
      <c r="CO19" t="s">
        <v>118</v>
      </c>
    </row>
    <row r="20" spans="1:93" hidden="1" x14ac:dyDescent="0.3">
      <c r="A20">
        <v>180851</v>
      </c>
      <c r="B20">
        <v>155905</v>
      </c>
      <c r="C20" t="str">
        <f>"650117401451"</f>
        <v>650117401451</v>
      </c>
      <c r="D20" t="s">
        <v>374</v>
      </c>
      <c r="E20" t="s">
        <v>375</v>
      </c>
      <c r="F20" t="s">
        <v>376</v>
      </c>
      <c r="G20" s="1">
        <v>23759</v>
      </c>
      <c r="I20" t="s">
        <v>106</v>
      </c>
      <c r="J20" t="s">
        <v>107</v>
      </c>
      <c r="K20" t="s">
        <v>205</v>
      </c>
      <c r="P20" t="s">
        <v>109</v>
      </c>
      <c r="W20" t="str">
        <f>"1987-07-30T00:00:00"</f>
        <v>1987-07-30T00:00:00</v>
      </c>
      <c r="X20" t="str">
        <f>"140/4"</f>
        <v>140/4</v>
      </c>
      <c r="Z20" t="s">
        <v>175</v>
      </c>
      <c r="AA20" t="s">
        <v>111</v>
      </c>
      <c r="AE20" t="s">
        <v>138</v>
      </c>
      <c r="AF20" t="s">
        <v>207</v>
      </c>
      <c r="AG20">
        <v>1.4</v>
      </c>
      <c r="AH20" t="s">
        <v>114</v>
      </c>
      <c r="AI20" t="s">
        <v>115</v>
      </c>
      <c r="AJ20" t="s">
        <v>116</v>
      </c>
      <c r="AN20" t="s">
        <v>117</v>
      </c>
      <c r="AO20" t="s">
        <v>118</v>
      </c>
      <c r="AP20" t="str">
        <f>"1"</f>
        <v>1</v>
      </c>
      <c r="AQ20" t="str">
        <f>"37"</f>
        <v>37</v>
      </c>
      <c r="AR20" t="str">
        <f>"37"</f>
        <v>37</v>
      </c>
      <c r="AS20" t="str">
        <f>"37"</f>
        <v>37</v>
      </c>
      <c r="AT20" t="str">
        <f>"36"</f>
        <v>36</v>
      </c>
      <c r="AU20" t="str">
        <f>"Teacher_17@mail.ru"</f>
        <v>Teacher_17@mail.ru</v>
      </c>
      <c r="AV20" t="str">
        <f>"87012511356"</f>
        <v>87012511356</v>
      </c>
      <c r="AW20" t="s">
        <v>139</v>
      </c>
      <c r="AX20" t="s">
        <v>160</v>
      </c>
      <c r="AZ20" t="s">
        <v>211</v>
      </c>
      <c r="BD20" t="s">
        <v>212</v>
      </c>
      <c r="BE20" t="s">
        <v>122</v>
      </c>
      <c r="BF20">
        <v>1.4</v>
      </c>
      <c r="BG20" t="str">
        <f>"[21]"</f>
        <v>[21]</v>
      </c>
      <c r="BH20" t="s">
        <v>118</v>
      </c>
      <c r="BI20">
        <v>0</v>
      </c>
      <c r="BN20" t="s">
        <v>275</v>
      </c>
      <c r="BR20" t="s">
        <v>131</v>
      </c>
      <c r="BU20" t="s">
        <v>377</v>
      </c>
      <c r="BV20" t="s">
        <v>378</v>
      </c>
      <c r="BW20" t="s">
        <v>379</v>
      </c>
      <c r="BX20" t="s">
        <v>250</v>
      </c>
      <c r="BY20" t="s">
        <v>279</v>
      </c>
      <c r="BZ20" t="s">
        <v>380</v>
      </c>
      <c r="CA20" t="s">
        <v>381</v>
      </c>
      <c r="CB20" t="s">
        <v>382</v>
      </c>
      <c r="CC20" t="s">
        <v>383</v>
      </c>
      <c r="CD20" t="s">
        <v>171</v>
      </c>
      <c r="CE20" t="s">
        <v>384</v>
      </c>
      <c r="CF20" s="2">
        <v>45383</v>
      </c>
      <c r="CI20" t="str">
        <f t="shared" si="0"/>
        <v>0</v>
      </c>
      <c r="CL20" t="s">
        <v>131</v>
      </c>
      <c r="CN20" t="s">
        <v>132</v>
      </c>
      <c r="CO20" t="s">
        <v>244</v>
      </c>
    </row>
    <row r="21" spans="1:93" hidden="1" x14ac:dyDescent="0.3">
      <c r="A21">
        <v>180876</v>
      </c>
      <c r="B21">
        <v>155920</v>
      </c>
      <c r="C21" t="str">
        <f>"630329450339"</f>
        <v>630329450339</v>
      </c>
      <c r="D21" t="s">
        <v>385</v>
      </c>
      <c r="E21" t="s">
        <v>271</v>
      </c>
      <c r="F21" t="s">
        <v>368</v>
      </c>
      <c r="G21" s="1">
        <v>23099</v>
      </c>
      <c r="I21" t="s">
        <v>106</v>
      </c>
      <c r="J21" t="s">
        <v>107</v>
      </c>
      <c r="K21" t="s">
        <v>205</v>
      </c>
      <c r="P21" t="s">
        <v>109</v>
      </c>
      <c r="W21" t="str">
        <f>"1984-08-22T00:00:00"</f>
        <v>1984-08-22T00:00:00</v>
      </c>
      <c r="X21" t="str">
        <f>"238/04"</f>
        <v>238/04</v>
      </c>
      <c r="Z21" t="s">
        <v>175</v>
      </c>
      <c r="AA21" t="s">
        <v>111</v>
      </c>
      <c r="AE21" t="s">
        <v>138</v>
      </c>
      <c r="AF21" t="s">
        <v>207</v>
      </c>
      <c r="AG21">
        <v>1.3</v>
      </c>
      <c r="AH21" t="s">
        <v>114</v>
      </c>
      <c r="AI21" t="s">
        <v>115</v>
      </c>
      <c r="AJ21" t="s">
        <v>116</v>
      </c>
      <c r="AN21" t="s">
        <v>117</v>
      </c>
      <c r="AO21" t="s">
        <v>118</v>
      </c>
      <c r="AP21" t="str">
        <f>"0"</f>
        <v>0</v>
      </c>
      <c r="AQ21" t="str">
        <f>"39"</f>
        <v>39</v>
      </c>
      <c r="AR21" t="str">
        <f>"39"</f>
        <v>39</v>
      </c>
      <c r="AS21" t="str">
        <f>"39"</f>
        <v>39</v>
      </c>
      <c r="AT21" t="str">
        <f>"39"</f>
        <v>39</v>
      </c>
      <c r="AU21" t="str">
        <f>"tanya_tany_a@inboxr.ru"</f>
        <v>tanya_tany_a@inboxr.ru</v>
      </c>
      <c r="AV21" t="str">
        <f>"87011491011"</f>
        <v>87011491011</v>
      </c>
      <c r="AW21" t="s">
        <v>139</v>
      </c>
      <c r="AX21" t="s">
        <v>209</v>
      </c>
      <c r="AZ21" t="s">
        <v>211</v>
      </c>
      <c r="BD21" t="s">
        <v>212</v>
      </c>
      <c r="BE21" t="s">
        <v>122</v>
      </c>
      <c r="BF21">
        <v>1.3</v>
      </c>
      <c r="BG21" t="str">
        <f>"[20]"</f>
        <v>[20]</v>
      </c>
      <c r="BH21" t="s">
        <v>118</v>
      </c>
      <c r="BI21">
        <v>0</v>
      </c>
      <c r="BN21" t="s">
        <v>161</v>
      </c>
      <c r="BR21" t="s">
        <v>131</v>
      </c>
      <c r="BU21" t="s">
        <v>300</v>
      </c>
      <c r="BV21" t="s">
        <v>332</v>
      </c>
      <c r="BW21" t="s">
        <v>291</v>
      </c>
      <c r="BX21" t="s">
        <v>292</v>
      </c>
      <c r="BY21" t="s">
        <v>293</v>
      </c>
      <c r="BZ21" t="s">
        <v>334</v>
      </c>
      <c r="CA21" t="s">
        <v>386</v>
      </c>
      <c r="CB21" t="s">
        <v>387</v>
      </c>
      <c r="CC21" t="s">
        <v>388</v>
      </c>
      <c r="CD21" t="s">
        <v>171</v>
      </c>
      <c r="CE21" t="s">
        <v>243</v>
      </c>
      <c r="CF21" s="2">
        <v>45383</v>
      </c>
      <c r="CI21" t="str">
        <f t="shared" si="0"/>
        <v>0</v>
      </c>
      <c r="CL21" t="s">
        <v>131</v>
      </c>
      <c r="CN21" t="s">
        <v>132</v>
      </c>
      <c r="CO21" t="s">
        <v>118</v>
      </c>
    </row>
    <row r="22" spans="1:93" hidden="1" x14ac:dyDescent="0.3">
      <c r="A22">
        <v>180889</v>
      </c>
      <c r="B22">
        <v>155930</v>
      </c>
      <c r="C22" t="str">
        <f>"731112450303"</f>
        <v>731112450303</v>
      </c>
      <c r="D22" t="s">
        <v>389</v>
      </c>
      <c r="E22" t="s">
        <v>390</v>
      </c>
      <c r="F22" t="s">
        <v>391</v>
      </c>
      <c r="G22" s="1">
        <v>26980</v>
      </c>
      <c r="I22" t="s">
        <v>106</v>
      </c>
      <c r="J22" t="s">
        <v>107</v>
      </c>
      <c r="K22" t="s">
        <v>392</v>
      </c>
      <c r="P22" t="s">
        <v>109</v>
      </c>
      <c r="Q22" t="s">
        <v>131</v>
      </c>
      <c r="R22" t="s">
        <v>393</v>
      </c>
      <c r="S22" t="s">
        <v>394</v>
      </c>
      <c r="T22" t="s">
        <v>395</v>
      </c>
      <c r="U22" t="str">
        <f>"2022-12-27T16:03:50"</f>
        <v>2022-12-27T16:03:50</v>
      </c>
      <c r="V22" t="str">
        <f>"2023-12-27T00:00:00"</f>
        <v>2023-12-27T00:00:00</v>
      </c>
      <c r="W22" t="str">
        <f>"2005-08-25T00:00:00"</f>
        <v>2005-08-25T00:00:00</v>
      </c>
      <c r="X22" t="str">
        <f>"28"</f>
        <v>28</v>
      </c>
      <c r="Z22" t="s">
        <v>396</v>
      </c>
      <c r="AA22" t="s">
        <v>111</v>
      </c>
      <c r="AE22" t="s">
        <v>138</v>
      </c>
      <c r="AF22" t="s">
        <v>113</v>
      </c>
      <c r="AG22">
        <v>1.5</v>
      </c>
      <c r="AH22" t="s">
        <v>114</v>
      </c>
      <c r="AI22" t="s">
        <v>115</v>
      </c>
      <c r="AJ22" t="s">
        <v>116</v>
      </c>
      <c r="AN22" t="s">
        <v>117</v>
      </c>
      <c r="AO22" t="s">
        <v>118</v>
      </c>
      <c r="AP22" t="str">
        <f>"15"</f>
        <v>15</v>
      </c>
      <c r="AQ22" t="str">
        <f>"33"</f>
        <v>33</v>
      </c>
      <c r="AR22" t="str">
        <f>"33"</f>
        <v>33</v>
      </c>
      <c r="AS22" t="str">
        <f>"33"</f>
        <v>33</v>
      </c>
      <c r="AT22" t="str">
        <f>"18"</f>
        <v>18</v>
      </c>
      <c r="AU22" t="str">
        <f>"vaierya.1973@mail.ru"</f>
        <v>vaierya.1973@mail.ru</v>
      </c>
      <c r="AV22" t="str">
        <f>"87089948414"</f>
        <v>87089948414</v>
      </c>
      <c r="AW22" t="s">
        <v>159</v>
      </c>
      <c r="AX22" t="s">
        <v>232</v>
      </c>
      <c r="AZ22" t="s">
        <v>211</v>
      </c>
      <c r="BD22" t="s">
        <v>397</v>
      </c>
      <c r="BE22" t="s">
        <v>122</v>
      </c>
      <c r="BF22">
        <v>1.5</v>
      </c>
      <c r="BG22" t="str">
        <f>"[24]"</f>
        <v>[24]</v>
      </c>
      <c r="BH22" t="s">
        <v>118</v>
      </c>
      <c r="BI22">
        <v>0</v>
      </c>
      <c r="BN22" t="s">
        <v>275</v>
      </c>
      <c r="BR22" t="s">
        <v>131</v>
      </c>
      <c r="BU22" t="s">
        <v>398</v>
      </c>
      <c r="BV22" t="s">
        <v>399</v>
      </c>
      <c r="BW22" t="s">
        <v>400</v>
      </c>
      <c r="BX22" t="s">
        <v>218</v>
      </c>
      <c r="BY22" t="s">
        <v>219</v>
      </c>
      <c r="BZ22" t="s">
        <v>401</v>
      </c>
      <c r="CA22" t="s">
        <v>402</v>
      </c>
      <c r="CB22" t="s">
        <v>403</v>
      </c>
      <c r="CC22" t="s">
        <v>404</v>
      </c>
      <c r="CD22" t="s">
        <v>405</v>
      </c>
      <c r="CE22" t="s">
        <v>406</v>
      </c>
      <c r="CF22" t="s">
        <v>153</v>
      </c>
      <c r="CI22" t="str">
        <f t="shared" si="0"/>
        <v>0</v>
      </c>
      <c r="CL22" t="s">
        <v>136</v>
      </c>
      <c r="CN22" t="s">
        <v>132</v>
      </c>
      <c r="CO22" t="s">
        <v>118</v>
      </c>
    </row>
    <row r="23" spans="1:93" hidden="1" x14ac:dyDescent="0.3">
      <c r="A23">
        <v>180902</v>
      </c>
      <c r="B23">
        <v>155939</v>
      </c>
      <c r="C23" t="str">
        <f>"681117401648"</f>
        <v>681117401648</v>
      </c>
      <c r="D23" t="s">
        <v>407</v>
      </c>
      <c r="E23" t="s">
        <v>375</v>
      </c>
      <c r="F23" t="s">
        <v>408</v>
      </c>
      <c r="G23" s="1">
        <v>25159</v>
      </c>
      <c r="I23" t="s">
        <v>106</v>
      </c>
      <c r="J23" t="s">
        <v>107</v>
      </c>
      <c r="K23" t="s">
        <v>205</v>
      </c>
      <c r="P23" t="s">
        <v>109</v>
      </c>
      <c r="W23" t="str">
        <f>"2005-08-26T00:00:00"</f>
        <v>2005-08-26T00:00:00</v>
      </c>
      <c r="X23" t="str">
        <f>"148"</f>
        <v>148</v>
      </c>
      <c r="Z23" t="s">
        <v>396</v>
      </c>
      <c r="AA23" t="s">
        <v>111</v>
      </c>
      <c r="AE23" t="s">
        <v>138</v>
      </c>
      <c r="AF23" t="s">
        <v>207</v>
      </c>
      <c r="AG23">
        <v>1.1000000000000001</v>
      </c>
      <c r="AH23" t="s">
        <v>114</v>
      </c>
      <c r="AI23" t="s">
        <v>115</v>
      </c>
      <c r="AJ23" t="s">
        <v>208</v>
      </c>
      <c r="AN23" t="s">
        <v>117</v>
      </c>
      <c r="AO23" t="s">
        <v>118</v>
      </c>
      <c r="AP23" t="str">
        <f>"10"</f>
        <v>10</v>
      </c>
      <c r="AQ23" t="str">
        <f>"28"</f>
        <v>28</v>
      </c>
      <c r="AR23" t="str">
        <f>"18"</f>
        <v>18</v>
      </c>
      <c r="AS23" t="str">
        <f>"18"</f>
        <v>18</v>
      </c>
      <c r="AT23" t="str">
        <f>"18"</f>
        <v>18</v>
      </c>
      <c r="AU23" t="str">
        <f>"lenkaledi@mail.ru"</f>
        <v>lenkaledi@mail.ru</v>
      </c>
      <c r="AV23" t="str">
        <f>"87712976067"</f>
        <v>87712976067</v>
      </c>
      <c r="AW23" t="s">
        <v>159</v>
      </c>
      <c r="AX23" t="s">
        <v>232</v>
      </c>
      <c r="AZ23" t="s">
        <v>211</v>
      </c>
      <c r="BD23" t="s">
        <v>212</v>
      </c>
      <c r="BE23" t="s">
        <v>213</v>
      </c>
      <c r="BF23">
        <v>1.1000000000000001</v>
      </c>
      <c r="BG23" t="str">
        <f>"[17]"</f>
        <v>[17]</v>
      </c>
      <c r="BH23" t="s">
        <v>118</v>
      </c>
      <c r="BI23">
        <v>0</v>
      </c>
      <c r="BN23" t="s">
        <v>275</v>
      </c>
      <c r="BR23" t="s">
        <v>131</v>
      </c>
      <c r="BU23" t="s">
        <v>409</v>
      </c>
      <c r="BV23" t="s">
        <v>410</v>
      </c>
      <c r="BW23" t="s">
        <v>411</v>
      </c>
      <c r="BX23" t="s">
        <v>412</v>
      </c>
      <c r="BY23" t="s">
        <v>413</v>
      </c>
      <c r="BZ23" t="s">
        <v>414</v>
      </c>
      <c r="CA23" t="s">
        <v>415</v>
      </c>
      <c r="CB23" t="s">
        <v>416</v>
      </c>
      <c r="CC23" t="s">
        <v>417</v>
      </c>
      <c r="CD23" t="s">
        <v>418</v>
      </c>
      <c r="CE23" t="s">
        <v>224</v>
      </c>
      <c r="CF23" s="2">
        <v>45383</v>
      </c>
      <c r="CI23" t="str">
        <f t="shared" si="0"/>
        <v>0</v>
      </c>
      <c r="CL23" t="s">
        <v>131</v>
      </c>
      <c r="CN23" t="s">
        <v>132</v>
      </c>
      <c r="CO23" t="s">
        <v>118</v>
      </c>
    </row>
    <row r="24" spans="1:93" hidden="1" x14ac:dyDescent="0.3">
      <c r="A24">
        <v>180908</v>
      </c>
      <c r="B24">
        <v>155942</v>
      </c>
      <c r="C24" t="str">
        <f>"720610499100"</f>
        <v>720610499100</v>
      </c>
      <c r="D24" t="s">
        <v>419</v>
      </c>
      <c r="E24" t="s">
        <v>420</v>
      </c>
      <c r="F24" t="s">
        <v>421</v>
      </c>
      <c r="G24" s="1">
        <v>26460</v>
      </c>
      <c r="I24" t="s">
        <v>106</v>
      </c>
      <c r="J24" t="s">
        <v>107</v>
      </c>
      <c r="K24" t="s">
        <v>108</v>
      </c>
      <c r="P24" t="s">
        <v>109</v>
      </c>
      <c r="W24" t="str">
        <f>"2011-08-25T00:00:00"</f>
        <v>2011-08-25T00:00:00</v>
      </c>
      <c r="X24" t="str">
        <f>"94"</f>
        <v>94</v>
      </c>
      <c r="Z24" t="s">
        <v>422</v>
      </c>
      <c r="AA24" t="s">
        <v>111</v>
      </c>
      <c r="AE24" t="s">
        <v>138</v>
      </c>
      <c r="AF24" t="s">
        <v>207</v>
      </c>
      <c r="AG24">
        <v>1.1000000000000001</v>
      </c>
      <c r="AH24" t="s">
        <v>114</v>
      </c>
      <c r="AI24" t="s">
        <v>115</v>
      </c>
      <c r="AJ24" t="s">
        <v>116</v>
      </c>
      <c r="AN24" t="s">
        <v>117</v>
      </c>
      <c r="AO24" t="s">
        <v>118</v>
      </c>
      <c r="AP24" t="str">
        <f>"21"</f>
        <v>21</v>
      </c>
      <c r="AQ24" t="str">
        <f>"33"</f>
        <v>33</v>
      </c>
      <c r="AR24" t="str">
        <f>"32"</f>
        <v>32</v>
      </c>
      <c r="AS24" t="str">
        <f>"32"</f>
        <v>32</v>
      </c>
      <c r="AT24" t="str">
        <f>"12"</f>
        <v>12</v>
      </c>
      <c r="AU24" t="str">
        <f>"b.n.k777@bk.ru"</f>
        <v>b.n.k777@bk.ru</v>
      </c>
      <c r="AV24" t="str">
        <f>"87055839395"</f>
        <v>87055839395</v>
      </c>
      <c r="AW24" t="s">
        <v>139</v>
      </c>
      <c r="AX24" t="s">
        <v>423</v>
      </c>
      <c r="AZ24" t="s">
        <v>189</v>
      </c>
      <c r="BD24" t="s">
        <v>212</v>
      </c>
      <c r="BE24" t="s">
        <v>122</v>
      </c>
      <c r="BF24">
        <v>1.1000000000000001</v>
      </c>
      <c r="BG24" t="str">
        <f>"[18]"</f>
        <v>[18]</v>
      </c>
      <c r="BH24" t="s">
        <v>113</v>
      </c>
      <c r="BI24">
        <v>0.4</v>
      </c>
      <c r="BJ24" t="s">
        <v>119</v>
      </c>
      <c r="BL24" t="s">
        <v>424</v>
      </c>
      <c r="BM24">
        <v>0.4</v>
      </c>
      <c r="BN24" t="s">
        <v>161</v>
      </c>
      <c r="BR24" t="s">
        <v>131</v>
      </c>
      <c r="BU24" t="s">
        <v>425</v>
      </c>
      <c r="BV24" t="s">
        <v>426</v>
      </c>
      <c r="BW24" t="s">
        <v>310</v>
      </c>
      <c r="BX24" t="s">
        <v>218</v>
      </c>
      <c r="BY24" t="s">
        <v>311</v>
      </c>
      <c r="BZ24" t="s">
        <v>427</v>
      </c>
      <c r="CA24" t="s">
        <v>428</v>
      </c>
      <c r="CB24" t="s">
        <v>429</v>
      </c>
      <c r="CC24" t="s">
        <v>430</v>
      </c>
      <c r="CD24" t="s">
        <v>171</v>
      </c>
      <c r="CE24" t="s">
        <v>431</v>
      </c>
      <c r="CF24" s="2">
        <v>45383</v>
      </c>
      <c r="CI24" t="str">
        <f t="shared" si="0"/>
        <v>0</v>
      </c>
      <c r="CL24" t="s">
        <v>131</v>
      </c>
      <c r="CN24" t="s">
        <v>132</v>
      </c>
      <c r="CO24" t="s">
        <v>118</v>
      </c>
    </row>
    <row r="25" spans="1:93" hidden="1" x14ac:dyDescent="0.3">
      <c r="A25">
        <v>180982</v>
      </c>
      <c r="B25">
        <v>155997</v>
      </c>
      <c r="C25" t="str">
        <f>"810429450163"</f>
        <v>810429450163</v>
      </c>
      <c r="D25" t="s">
        <v>432</v>
      </c>
      <c r="E25" t="s">
        <v>340</v>
      </c>
      <c r="F25" t="s">
        <v>433</v>
      </c>
      <c r="G25" s="1">
        <v>29705</v>
      </c>
      <c r="I25" t="s">
        <v>106</v>
      </c>
      <c r="J25" t="s">
        <v>107</v>
      </c>
      <c r="K25" t="s">
        <v>205</v>
      </c>
      <c r="P25" t="s">
        <v>109</v>
      </c>
      <c r="Q25" t="s">
        <v>136</v>
      </c>
      <c r="W25" t="str">
        <f>"2002-08-26T00:00:00"</f>
        <v>2002-08-26T00:00:00</v>
      </c>
      <c r="X25" t="str">
        <f>"227"</f>
        <v>227</v>
      </c>
      <c r="Z25" t="s">
        <v>206</v>
      </c>
      <c r="AA25" t="s">
        <v>111</v>
      </c>
      <c r="AE25" t="s">
        <v>138</v>
      </c>
      <c r="AF25" t="s">
        <v>113</v>
      </c>
      <c r="AG25">
        <v>1.5</v>
      </c>
      <c r="AH25" t="s">
        <v>114</v>
      </c>
      <c r="AI25" t="s">
        <v>115</v>
      </c>
      <c r="AJ25" t="s">
        <v>116</v>
      </c>
      <c r="AN25" t="s">
        <v>117</v>
      </c>
      <c r="AO25" t="s">
        <v>118</v>
      </c>
      <c r="AP25" t="str">
        <f>"0"</f>
        <v>0</v>
      </c>
      <c r="AQ25" t="str">
        <f>"21"</f>
        <v>21</v>
      </c>
      <c r="AR25" t="str">
        <f>"21"</f>
        <v>21</v>
      </c>
      <c r="AS25" t="str">
        <f>"21"</f>
        <v>21</v>
      </c>
      <c r="AT25" t="str">
        <f>"21"</f>
        <v>21</v>
      </c>
      <c r="AU25" t="str">
        <f>"lusyacyb@mail.ru"</f>
        <v>lusyacyb@mail.ru</v>
      </c>
      <c r="AV25" t="str">
        <f>"87012706312"</f>
        <v>87012706312</v>
      </c>
      <c r="AW25" t="s">
        <v>159</v>
      </c>
      <c r="AX25" t="s">
        <v>423</v>
      </c>
      <c r="AZ25" t="s">
        <v>211</v>
      </c>
      <c r="BD25" t="s">
        <v>434</v>
      </c>
      <c r="BE25" t="s">
        <v>122</v>
      </c>
      <c r="BF25">
        <v>1.5</v>
      </c>
      <c r="BG25" t="str">
        <f>"[24]"</f>
        <v>[24]</v>
      </c>
      <c r="BH25" t="s">
        <v>113</v>
      </c>
      <c r="BI25">
        <v>0.1</v>
      </c>
      <c r="BJ25" t="s">
        <v>139</v>
      </c>
      <c r="BK25" t="s">
        <v>232</v>
      </c>
      <c r="BL25" t="s">
        <v>435</v>
      </c>
      <c r="BM25">
        <v>0.1</v>
      </c>
      <c r="BN25" t="s">
        <v>161</v>
      </c>
      <c r="BR25" t="s">
        <v>131</v>
      </c>
      <c r="BU25" t="s">
        <v>436</v>
      </c>
      <c r="BV25" t="s">
        <v>437</v>
      </c>
      <c r="BW25" t="s">
        <v>438</v>
      </c>
      <c r="BX25" t="s">
        <v>218</v>
      </c>
      <c r="BY25" t="s">
        <v>219</v>
      </c>
      <c r="BZ25" t="s">
        <v>439</v>
      </c>
      <c r="CA25" t="s">
        <v>440</v>
      </c>
      <c r="CB25" t="s">
        <v>441</v>
      </c>
      <c r="CC25" t="s">
        <v>442</v>
      </c>
      <c r="CD25" t="s">
        <v>171</v>
      </c>
      <c r="CE25" t="s">
        <v>443</v>
      </c>
      <c r="CF25" t="s">
        <v>153</v>
      </c>
      <c r="CI25" t="str">
        <f t="shared" si="0"/>
        <v>0</v>
      </c>
      <c r="CL25" t="s">
        <v>131</v>
      </c>
      <c r="CN25" t="s">
        <v>132</v>
      </c>
      <c r="CO25" t="s">
        <v>185</v>
      </c>
    </row>
    <row r="26" spans="1:93" hidden="1" x14ac:dyDescent="0.3">
      <c r="A26">
        <v>180988</v>
      </c>
      <c r="B26">
        <v>156001</v>
      </c>
      <c r="C26" t="str">
        <f>"750223401151"</f>
        <v>750223401151</v>
      </c>
      <c r="D26" t="s">
        <v>444</v>
      </c>
      <c r="E26" t="s">
        <v>445</v>
      </c>
      <c r="F26" t="s">
        <v>446</v>
      </c>
      <c r="G26" s="1">
        <v>27448</v>
      </c>
      <c r="I26" t="s">
        <v>106</v>
      </c>
      <c r="J26" t="s">
        <v>107</v>
      </c>
      <c r="K26" t="s">
        <v>205</v>
      </c>
      <c r="P26" t="s">
        <v>109</v>
      </c>
      <c r="Q26" t="s">
        <v>136</v>
      </c>
      <c r="W26" t="str">
        <f>"1995-08-22T00:00:00"</f>
        <v>1995-08-22T00:00:00</v>
      </c>
      <c r="X26" t="str">
        <f>"474"</f>
        <v>474</v>
      </c>
      <c r="Z26" t="s">
        <v>396</v>
      </c>
      <c r="AA26" t="s">
        <v>111</v>
      </c>
      <c r="AE26" t="s">
        <v>138</v>
      </c>
      <c r="AF26" t="s">
        <v>113</v>
      </c>
      <c r="AG26">
        <v>1.1000000000000001</v>
      </c>
      <c r="AH26" t="s">
        <v>114</v>
      </c>
      <c r="AI26" t="s">
        <v>115</v>
      </c>
      <c r="AJ26" t="s">
        <v>208</v>
      </c>
      <c r="AN26" t="s">
        <v>117</v>
      </c>
      <c r="AO26" t="s">
        <v>118</v>
      </c>
      <c r="AP26" t="str">
        <f>"0"</f>
        <v>0</v>
      </c>
      <c r="AQ26" t="str">
        <f>"28"</f>
        <v>28</v>
      </c>
      <c r="AR26" t="str">
        <f>"28"</f>
        <v>28</v>
      </c>
      <c r="AS26" t="str">
        <f>"28"</f>
        <v>28</v>
      </c>
      <c r="AT26" t="str">
        <f>"28"</f>
        <v>28</v>
      </c>
      <c r="AU26" t="str">
        <f>"inna_schitova@mail.ru"</f>
        <v>inna_schitova@mail.ru</v>
      </c>
      <c r="AV26" t="str">
        <f>"87012717053"</f>
        <v>87012717053</v>
      </c>
      <c r="AW26" t="s">
        <v>139</v>
      </c>
      <c r="AX26" t="s">
        <v>232</v>
      </c>
      <c r="AZ26" t="s">
        <v>211</v>
      </c>
      <c r="BD26" t="s">
        <v>424</v>
      </c>
      <c r="BE26" t="s">
        <v>213</v>
      </c>
      <c r="BF26">
        <v>1.1000000000000001</v>
      </c>
      <c r="BG26" t="str">
        <f>"[17]"</f>
        <v>[17]</v>
      </c>
      <c r="BH26" t="s">
        <v>447</v>
      </c>
      <c r="BI26">
        <v>0.5</v>
      </c>
      <c r="BN26" t="s">
        <v>161</v>
      </c>
      <c r="BR26" t="s">
        <v>131</v>
      </c>
      <c r="BU26" t="s">
        <v>448</v>
      </c>
      <c r="BV26" t="s">
        <v>449</v>
      </c>
      <c r="BW26" t="s">
        <v>450</v>
      </c>
      <c r="BX26" t="s">
        <v>146</v>
      </c>
      <c r="BY26" t="s">
        <v>346</v>
      </c>
      <c r="BZ26" t="s">
        <v>451</v>
      </c>
      <c r="CA26" t="s">
        <v>452</v>
      </c>
      <c r="CB26" t="s">
        <v>453</v>
      </c>
      <c r="CC26" t="s">
        <v>454</v>
      </c>
      <c r="CD26" t="s">
        <v>424</v>
      </c>
      <c r="CE26" t="s">
        <v>455</v>
      </c>
      <c r="CF26" t="s">
        <v>153</v>
      </c>
      <c r="CI26" t="str">
        <f t="shared" si="0"/>
        <v>0</v>
      </c>
      <c r="CL26" t="s">
        <v>131</v>
      </c>
      <c r="CN26" t="s">
        <v>132</v>
      </c>
      <c r="CO26" t="s">
        <v>118</v>
      </c>
    </row>
    <row r="27" spans="1:93" hidden="1" x14ac:dyDescent="0.3">
      <c r="A27">
        <v>181015</v>
      </c>
      <c r="B27">
        <v>156021</v>
      </c>
      <c r="C27" t="str">
        <f>"780217402836"</f>
        <v>780217402836</v>
      </c>
      <c r="D27" t="s">
        <v>456</v>
      </c>
      <c r="E27" t="s">
        <v>457</v>
      </c>
      <c r="F27" t="s">
        <v>458</v>
      </c>
      <c r="G27" s="1">
        <v>28538</v>
      </c>
      <c r="I27" t="s">
        <v>106</v>
      </c>
      <c r="J27" t="s">
        <v>107</v>
      </c>
      <c r="K27" t="s">
        <v>205</v>
      </c>
      <c r="P27" t="s">
        <v>109</v>
      </c>
      <c r="Q27" t="s">
        <v>136</v>
      </c>
      <c r="W27" t="str">
        <f>"2012-08-25T00:00:00"</f>
        <v>2012-08-25T00:00:00</v>
      </c>
      <c r="X27" t="str">
        <f>"54/1"</f>
        <v>54/1</v>
      </c>
      <c r="Z27" t="s">
        <v>137</v>
      </c>
      <c r="AA27" t="s">
        <v>111</v>
      </c>
      <c r="AE27" t="s">
        <v>138</v>
      </c>
      <c r="AF27" t="s">
        <v>207</v>
      </c>
      <c r="AG27">
        <v>1</v>
      </c>
      <c r="AH27" t="s">
        <v>114</v>
      </c>
      <c r="AI27" t="s">
        <v>115</v>
      </c>
      <c r="AJ27" t="s">
        <v>116</v>
      </c>
      <c r="AN27" t="s">
        <v>117</v>
      </c>
      <c r="AO27" t="s">
        <v>118</v>
      </c>
      <c r="AP27" t="str">
        <f>"8"</f>
        <v>8</v>
      </c>
      <c r="AQ27" t="str">
        <f>"19"</f>
        <v>19</v>
      </c>
      <c r="AR27" t="str">
        <f>"18"</f>
        <v>18</v>
      </c>
      <c r="AS27" t="str">
        <f>"18"</f>
        <v>18</v>
      </c>
      <c r="AT27" t="str">
        <f>"11"</f>
        <v>11</v>
      </c>
      <c r="AU27" t="str">
        <f>"irs78irs@mail.ru"</f>
        <v>irs78irs@mail.ru</v>
      </c>
      <c r="AV27" t="str">
        <f>"87021633078"</f>
        <v>87021633078</v>
      </c>
      <c r="AW27" t="s">
        <v>139</v>
      </c>
      <c r="AX27" t="s">
        <v>160</v>
      </c>
      <c r="AZ27" t="s">
        <v>211</v>
      </c>
      <c r="BD27" t="s">
        <v>212</v>
      </c>
      <c r="BE27" t="s">
        <v>122</v>
      </c>
      <c r="BF27">
        <v>1</v>
      </c>
      <c r="BG27" t="str">
        <f>"[16]"</f>
        <v>[16]</v>
      </c>
      <c r="BH27" t="s">
        <v>459</v>
      </c>
      <c r="BI27">
        <v>0.5</v>
      </c>
      <c r="BJ27" t="s">
        <v>139</v>
      </c>
      <c r="BK27" t="s">
        <v>209</v>
      </c>
      <c r="BN27" t="s">
        <v>161</v>
      </c>
      <c r="BR27" t="s">
        <v>131</v>
      </c>
      <c r="BU27" t="s">
        <v>460</v>
      </c>
      <c r="BV27" t="s">
        <v>461</v>
      </c>
      <c r="BW27" t="s">
        <v>462</v>
      </c>
      <c r="BX27" t="s">
        <v>463</v>
      </c>
      <c r="BY27" t="s">
        <v>464</v>
      </c>
      <c r="BZ27" t="s">
        <v>465</v>
      </c>
      <c r="CA27" t="s">
        <v>466</v>
      </c>
      <c r="CB27" t="s">
        <v>467</v>
      </c>
      <c r="CC27" t="s">
        <v>468</v>
      </c>
      <c r="CD27" t="s">
        <v>212</v>
      </c>
      <c r="CE27" t="s">
        <v>384</v>
      </c>
      <c r="CF27" s="2">
        <v>45383</v>
      </c>
      <c r="CI27" t="str">
        <f t="shared" si="0"/>
        <v>0</v>
      </c>
      <c r="CL27" t="s">
        <v>131</v>
      </c>
      <c r="CN27" t="s">
        <v>132</v>
      </c>
      <c r="CO27" t="s">
        <v>185</v>
      </c>
    </row>
    <row r="28" spans="1:93" hidden="1" x14ac:dyDescent="0.3">
      <c r="A28">
        <v>181028</v>
      </c>
      <c r="B28">
        <v>156032</v>
      </c>
      <c r="C28" t="str">
        <f>"650501401378"</f>
        <v>650501401378</v>
      </c>
      <c r="D28" t="s">
        <v>469</v>
      </c>
      <c r="E28" t="s">
        <v>470</v>
      </c>
      <c r="F28" t="s">
        <v>471</v>
      </c>
      <c r="G28" s="1">
        <v>23863</v>
      </c>
      <c r="I28" t="s">
        <v>106</v>
      </c>
      <c r="J28" t="s">
        <v>107</v>
      </c>
      <c r="K28" t="s">
        <v>108</v>
      </c>
      <c r="P28" t="s">
        <v>109</v>
      </c>
      <c r="Q28" t="s">
        <v>136</v>
      </c>
      <c r="W28" t="str">
        <f>"2019-12-13T00:00:00"</f>
        <v>2019-12-13T00:00:00</v>
      </c>
      <c r="X28" t="str">
        <f>"321"</f>
        <v>321</v>
      </c>
      <c r="Z28" t="s">
        <v>110</v>
      </c>
      <c r="AA28" t="s">
        <v>111</v>
      </c>
      <c r="AE28" t="s">
        <v>138</v>
      </c>
      <c r="AF28" t="s">
        <v>113</v>
      </c>
      <c r="AG28">
        <v>1.5</v>
      </c>
      <c r="AH28" t="s">
        <v>114</v>
      </c>
      <c r="AI28" t="s">
        <v>115</v>
      </c>
      <c r="AJ28" t="s">
        <v>116</v>
      </c>
      <c r="AN28" t="s">
        <v>117</v>
      </c>
      <c r="AO28" t="s">
        <v>118</v>
      </c>
      <c r="AP28" t="str">
        <f>"37"</f>
        <v>37</v>
      </c>
      <c r="AQ28" t="str">
        <f>"41"</f>
        <v>41</v>
      </c>
      <c r="AR28" t="str">
        <f>"41"</f>
        <v>41</v>
      </c>
      <c r="AS28" t="str">
        <f>"41"</f>
        <v>41</v>
      </c>
      <c r="AT28" t="str">
        <f>"4"</f>
        <v>4</v>
      </c>
      <c r="AU28" t="str">
        <f>"bzakaryanova@bk.ru"</f>
        <v>bzakaryanova@bk.ru</v>
      </c>
      <c r="AV28" t="str">
        <f>"87056466881"</f>
        <v>87056466881</v>
      </c>
      <c r="AW28" t="s">
        <v>139</v>
      </c>
      <c r="AX28" t="s">
        <v>160</v>
      </c>
      <c r="AZ28" t="s">
        <v>189</v>
      </c>
      <c r="BD28" t="s">
        <v>320</v>
      </c>
      <c r="BE28" t="s">
        <v>122</v>
      </c>
      <c r="BF28">
        <v>1.5</v>
      </c>
      <c r="BG28" t="str">
        <f>"[24]"</f>
        <v>[24]</v>
      </c>
      <c r="BH28" t="s">
        <v>118</v>
      </c>
      <c r="BI28">
        <v>0</v>
      </c>
      <c r="BN28" t="s">
        <v>161</v>
      </c>
      <c r="BR28" t="s">
        <v>131</v>
      </c>
      <c r="BU28" t="s">
        <v>472</v>
      </c>
      <c r="BV28" t="s">
        <v>473</v>
      </c>
      <c r="BW28" t="s">
        <v>474</v>
      </c>
      <c r="BX28" t="s">
        <v>475</v>
      </c>
      <c r="BY28" t="s">
        <v>476</v>
      </c>
      <c r="BZ28" t="s">
        <v>477</v>
      </c>
      <c r="CA28" t="s">
        <v>478</v>
      </c>
      <c r="CB28" t="s">
        <v>479</v>
      </c>
      <c r="CC28" t="s">
        <v>480</v>
      </c>
      <c r="CD28" t="s">
        <v>171</v>
      </c>
      <c r="CE28" t="s">
        <v>481</v>
      </c>
      <c r="CF28" t="s">
        <v>153</v>
      </c>
      <c r="CI28" t="str">
        <f t="shared" si="0"/>
        <v>0</v>
      </c>
      <c r="CL28" t="s">
        <v>136</v>
      </c>
      <c r="CN28" t="s">
        <v>132</v>
      </c>
      <c r="CO28" t="s">
        <v>118</v>
      </c>
    </row>
    <row r="29" spans="1:93" x14ac:dyDescent="0.3">
      <c r="A29">
        <v>181046</v>
      </c>
      <c r="B29">
        <v>156045</v>
      </c>
      <c r="C29" t="str">
        <f>"780918401501"</f>
        <v>780918401501</v>
      </c>
      <c r="D29" t="s">
        <v>482</v>
      </c>
      <c r="E29" t="s">
        <v>483</v>
      </c>
      <c r="F29" t="s">
        <v>376</v>
      </c>
      <c r="G29" s="1">
        <v>28751</v>
      </c>
      <c r="I29" t="s">
        <v>106</v>
      </c>
      <c r="J29" t="s">
        <v>107</v>
      </c>
      <c r="K29" t="s">
        <v>205</v>
      </c>
      <c r="P29" t="s">
        <v>109</v>
      </c>
      <c r="W29" t="str">
        <f>"2004-09-01T00:00:00"</f>
        <v>2004-09-01T00:00:00</v>
      </c>
      <c r="X29" t="str">
        <f>"52"</f>
        <v>52</v>
      </c>
      <c r="Z29" t="s">
        <v>110</v>
      </c>
      <c r="AA29" t="s">
        <v>111</v>
      </c>
      <c r="AE29" t="s">
        <v>138</v>
      </c>
      <c r="AF29" t="s">
        <v>484</v>
      </c>
      <c r="AG29">
        <v>1.5</v>
      </c>
      <c r="AH29" t="s">
        <v>114</v>
      </c>
      <c r="AI29" t="s">
        <v>115</v>
      </c>
      <c r="AJ29" t="s">
        <v>485</v>
      </c>
      <c r="AN29" t="s">
        <v>486</v>
      </c>
      <c r="AP29" t="str">
        <f>"0"</f>
        <v>0</v>
      </c>
      <c r="AQ29" t="str">
        <f>"19"</f>
        <v>19</v>
      </c>
      <c r="AS29" t="str">
        <f>"0"</f>
        <v>0</v>
      </c>
      <c r="AT29" t="str">
        <f>"19"</f>
        <v>19</v>
      </c>
      <c r="AZ29" t="s">
        <v>130</v>
      </c>
      <c r="BH29" t="s">
        <v>118</v>
      </c>
      <c r="BI29">
        <v>0</v>
      </c>
      <c r="CE29" t="s">
        <v>130</v>
      </c>
    </row>
    <row r="30" spans="1:93" x14ac:dyDescent="0.3">
      <c r="A30">
        <v>181092</v>
      </c>
      <c r="B30">
        <v>156076</v>
      </c>
      <c r="C30" t="str">
        <f>"660820450027"</f>
        <v>660820450027</v>
      </c>
      <c r="D30" t="s">
        <v>487</v>
      </c>
      <c r="E30" t="s">
        <v>104</v>
      </c>
      <c r="F30" t="s">
        <v>488</v>
      </c>
      <c r="G30" s="1">
        <v>24339</v>
      </c>
      <c r="I30" t="s">
        <v>106</v>
      </c>
      <c r="J30" t="s">
        <v>107</v>
      </c>
      <c r="K30" t="s">
        <v>108</v>
      </c>
      <c r="P30" t="s">
        <v>109</v>
      </c>
      <c r="Q30" t="s">
        <v>136</v>
      </c>
      <c r="W30" t="str">
        <f>"2015-09-02T00:00:00"</f>
        <v>2015-09-02T00:00:00</v>
      </c>
      <c r="X30" t="str">
        <f>"129"</f>
        <v>129</v>
      </c>
      <c r="Z30" t="s">
        <v>110</v>
      </c>
      <c r="AA30" t="s">
        <v>111</v>
      </c>
      <c r="AE30" t="s">
        <v>138</v>
      </c>
      <c r="AF30" t="s">
        <v>489</v>
      </c>
      <c r="AG30">
        <v>1.5</v>
      </c>
      <c r="AH30" t="s">
        <v>114</v>
      </c>
      <c r="AI30" t="s">
        <v>115</v>
      </c>
      <c r="AJ30" t="s">
        <v>490</v>
      </c>
      <c r="AN30" t="s">
        <v>486</v>
      </c>
      <c r="AP30" t="str">
        <f>"7"</f>
        <v>7</v>
      </c>
      <c r="AQ30" t="str">
        <f>"15"</f>
        <v>15</v>
      </c>
      <c r="AS30" t="str">
        <f>"0"</f>
        <v>0</v>
      </c>
      <c r="AT30" t="str">
        <f>"8"</f>
        <v>8</v>
      </c>
      <c r="AZ30" t="s">
        <v>130</v>
      </c>
      <c r="BH30" t="s">
        <v>118</v>
      </c>
      <c r="BI30">
        <v>0</v>
      </c>
      <c r="CE30" t="s">
        <v>130</v>
      </c>
    </row>
    <row r="31" spans="1:93" hidden="1" x14ac:dyDescent="0.3">
      <c r="A31">
        <v>181113</v>
      </c>
      <c r="B31">
        <v>145303</v>
      </c>
      <c r="C31" t="str">
        <f>"810518400488"</f>
        <v>810518400488</v>
      </c>
      <c r="D31" t="s">
        <v>491</v>
      </c>
      <c r="E31" t="s">
        <v>492</v>
      </c>
      <c r="F31" t="s">
        <v>493</v>
      </c>
      <c r="G31" s="1">
        <v>29724</v>
      </c>
      <c r="I31" t="s">
        <v>106</v>
      </c>
      <c r="J31" t="s">
        <v>107</v>
      </c>
      <c r="K31" t="s">
        <v>108</v>
      </c>
      <c r="P31" t="s">
        <v>109</v>
      </c>
      <c r="Q31" t="s">
        <v>136</v>
      </c>
      <c r="W31" t="str">
        <f>"2014-08-29T00:00:00"</f>
        <v>2014-08-29T00:00:00</v>
      </c>
      <c r="X31" t="str">
        <f>"42"</f>
        <v>42</v>
      </c>
      <c r="Z31" t="s">
        <v>137</v>
      </c>
      <c r="AA31" t="s">
        <v>111</v>
      </c>
      <c r="AE31" t="s">
        <v>138</v>
      </c>
      <c r="AF31" t="s">
        <v>207</v>
      </c>
      <c r="AG31">
        <v>1.5</v>
      </c>
      <c r="AH31" t="s">
        <v>114</v>
      </c>
      <c r="AI31" t="s">
        <v>115</v>
      </c>
      <c r="AJ31" t="s">
        <v>208</v>
      </c>
      <c r="AN31" t="s">
        <v>117</v>
      </c>
      <c r="AO31" t="s">
        <v>118</v>
      </c>
      <c r="AP31" t="str">
        <f>"4"</f>
        <v>4</v>
      </c>
      <c r="AQ31" t="str">
        <f>"13"</f>
        <v>13</v>
      </c>
      <c r="AR31" t="str">
        <f>"13"</f>
        <v>13</v>
      </c>
      <c r="AS31" t="str">
        <f>"13"</f>
        <v>13</v>
      </c>
      <c r="AT31" t="str">
        <f>"9"</f>
        <v>9</v>
      </c>
      <c r="AU31" t="str">
        <f>"Kochanova.81@mail.ru"</f>
        <v>Kochanova.81@mail.ru</v>
      </c>
      <c r="AV31" t="str">
        <f>"87712974770"</f>
        <v>87712974770</v>
      </c>
      <c r="AW31" t="s">
        <v>159</v>
      </c>
      <c r="AX31" t="s">
        <v>160</v>
      </c>
      <c r="AZ31" t="s">
        <v>189</v>
      </c>
      <c r="BD31" t="s">
        <v>212</v>
      </c>
      <c r="BE31" t="s">
        <v>213</v>
      </c>
      <c r="BF31">
        <v>1.5</v>
      </c>
      <c r="BG31" t="str">
        <f>"[24]"</f>
        <v>[24]</v>
      </c>
      <c r="BH31" t="s">
        <v>118</v>
      </c>
      <c r="BI31">
        <v>0</v>
      </c>
      <c r="BN31" t="s">
        <v>161</v>
      </c>
      <c r="BR31" t="s">
        <v>131</v>
      </c>
      <c r="BU31" t="s">
        <v>494</v>
      </c>
      <c r="BV31" t="s">
        <v>378</v>
      </c>
      <c r="BW31" t="s">
        <v>495</v>
      </c>
      <c r="BX31" t="s">
        <v>250</v>
      </c>
      <c r="BY31" t="s">
        <v>251</v>
      </c>
      <c r="BZ31" t="s">
        <v>496</v>
      </c>
      <c r="CA31" t="s">
        <v>497</v>
      </c>
      <c r="CB31" t="s">
        <v>498</v>
      </c>
      <c r="CC31" t="s">
        <v>499</v>
      </c>
      <c r="CD31" t="s">
        <v>212</v>
      </c>
      <c r="CE31" t="s">
        <v>224</v>
      </c>
      <c r="CF31" s="2">
        <v>45383</v>
      </c>
      <c r="CI31" t="str">
        <f>"0"</f>
        <v>0</v>
      </c>
      <c r="CL31" t="s">
        <v>131</v>
      </c>
      <c r="CN31" t="s">
        <v>132</v>
      </c>
      <c r="CO31" t="s">
        <v>185</v>
      </c>
    </row>
    <row r="32" spans="1:93" hidden="1" x14ac:dyDescent="0.3">
      <c r="A32">
        <v>181170</v>
      </c>
      <c r="B32">
        <v>156143</v>
      </c>
      <c r="C32" t="str">
        <f>"900517450676"</f>
        <v>900517450676</v>
      </c>
      <c r="D32" t="s">
        <v>500</v>
      </c>
      <c r="E32" t="s">
        <v>501</v>
      </c>
      <c r="F32" t="s">
        <v>502</v>
      </c>
      <c r="G32" s="1">
        <v>33010</v>
      </c>
      <c r="I32" t="s">
        <v>106</v>
      </c>
      <c r="J32" t="s">
        <v>107</v>
      </c>
      <c r="K32" t="s">
        <v>108</v>
      </c>
      <c r="P32" t="s">
        <v>109</v>
      </c>
      <c r="Q32" t="s">
        <v>136</v>
      </c>
      <c r="W32" t="str">
        <f>"2016-08-31T00:00:00"</f>
        <v>2016-08-31T00:00:00</v>
      </c>
      <c r="X32" t="str">
        <f>"87"</f>
        <v>87</v>
      </c>
      <c r="Z32" t="s">
        <v>137</v>
      </c>
      <c r="AA32" t="s">
        <v>111</v>
      </c>
      <c r="AE32" t="s">
        <v>138</v>
      </c>
      <c r="AF32" t="s">
        <v>113</v>
      </c>
      <c r="AG32">
        <v>1.5</v>
      </c>
      <c r="AH32" t="s">
        <v>114</v>
      </c>
      <c r="AI32" t="s">
        <v>115</v>
      </c>
      <c r="AJ32" t="s">
        <v>116</v>
      </c>
      <c r="AN32" t="s">
        <v>117</v>
      </c>
      <c r="AO32" t="s">
        <v>118</v>
      </c>
      <c r="AP32" t="str">
        <f>"8"</f>
        <v>8</v>
      </c>
      <c r="AQ32" t="str">
        <f>"15"</f>
        <v>15</v>
      </c>
      <c r="AR32" t="str">
        <f>"8"</f>
        <v>8</v>
      </c>
      <c r="AS32" t="str">
        <f>"8"</f>
        <v>8</v>
      </c>
      <c r="AT32" t="str">
        <f>"7"</f>
        <v>7</v>
      </c>
      <c r="AU32" t="str">
        <f>"kolledzhmaksat_2006@mail.ru"</f>
        <v>kolledzhmaksat_2006@mail.ru</v>
      </c>
      <c r="AV32" t="str">
        <f>"87713759027"</f>
        <v>87713759027</v>
      </c>
      <c r="AW32" t="s">
        <v>159</v>
      </c>
      <c r="AX32" t="s">
        <v>209</v>
      </c>
      <c r="AY32" t="s">
        <v>210</v>
      </c>
      <c r="AZ32" t="s">
        <v>177</v>
      </c>
      <c r="BD32" t="s">
        <v>288</v>
      </c>
      <c r="BE32" t="s">
        <v>122</v>
      </c>
      <c r="BF32">
        <v>1.5</v>
      </c>
      <c r="BG32" t="str">
        <f>"[24]"</f>
        <v>[24]</v>
      </c>
      <c r="BH32" t="s">
        <v>503</v>
      </c>
      <c r="BI32">
        <v>1</v>
      </c>
      <c r="BJ32" t="s">
        <v>119</v>
      </c>
      <c r="BL32" t="s">
        <v>171</v>
      </c>
      <c r="BM32">
        <v>0</v>
      </c>
      <c r="BN32" t="s">
        <v>161</v>
      </c>
      <c r="BR32" t="s">
        <v>131</v>
      </c>
      <c r="BU32" t="s">
        <v>504</v>
      </c>
      <c r="BV32" t="s">
        <v>505</v>
      </c>
      <c r="BW32" t="s">
        <v>506</v>
      </c>
      <c r="BX32" t="s">
        <v>507</v>
      </c>
      <c r="BY32" t="s">
        <v>508</v>
      </c>
      <c r="BZ32" t="s">
        <v>509</v>
      </c>
      <c r="CA32" t="s">
        <v>510</v>
      </c>
      <c r="CB32" t="s">
        <v>511</v>
      </c>
      <c r="CC32" t="s">
        <v>512</v>
      </c>
      <c r="CD32" t="s">
        <v>288</v>
      </c>
      <c r="CE32" t="s">
        <v>513</v>
      </c>
      <c r="CF32" t="s">
        <v>153</v>
      </c>
      <c r="CI32" t="str">
        <f>"0"</f>
        <v>0</v>
      </c>
      <c r="CL32" t="s">
        <v>136</v>
      </c>
      <c r="CN32" t="s">
        <v>132</v>
      </c>
      <c r="CO32" t="s">
        <v>118</v>
      </c>
    </row>
    <row r="33" spans="1:93" hidden="1" x14ac:dyDescent="0.3">
      <c r="A33">
        <v>181176</v>
      </c>
      <c r="B33">
        <v>156148</v>
      </c>
      <c r="C33" t="str">
        <f>"921201450882"</f>
        <v>921201450882</v>
      </c>
      <c r="D33" t="s">
        <v>514</v>
      </c>
      <c r="E33" t="s">
        <v>515</v>
      </c>
      <c r="F33" t="s">
        <v>516</v>
      </c>
      <c r="G33" s="1">
        <v>33939</v>
      </c>
      <c r="I33" t="s">
        <v>106</v>
      </c>
      <c r="J33" t="s">
        <v>107</v>
      </c>
      <c r="K33" t="s">
        <v>205</v>
      </c>
      <c r="P33" t="s">
        <v>109</v>
      </c>
      <c r="Q33" t="s">
        <v>136</v>
      </c>
      <c r="W33" t="str">
        <f>"2018-08-17T00:00:00"</f>
        <v>2018-08-17T00:00:00</v>
      </c>
      <c r="X33" t="str">
        <f>"193"</f>
        <v>193</v>
      </c>
      <c r="Z33" t="s">
        <v>342</v>
      </c>
      <c r="AA33" t="s">
        <v>111</v>
      </c>
      <c r="AE33" t="s">
        <v>138</v>
      </c>
      <c r="AF33" t="s">
        <v>113</v>
      </c>
      <c r="AG33">
        <v>1.5</v>
      </c>
      <c r="AH33" t="s">
        <v>114</v>
      </c>
      <c r="AI33" t="s">
        <v>229</v>
      </c>
      <c r="AJ33" t="s">
        <v>230</v>
      </c>
      <c r="AN33" t="s">
        <v>117</v>
      </c>
      <c r="AO33" t="s">
        <v>118</v>
      </c>
      <c r="AP33" t="str">
        <f>"4"</f>
        <v>4</v>
      </c>
      <c r="AQ33" t="str">
        <f>"9"</f>
        <v>9</v>
      </c>
      <c r="AR33" t="str">
        <f>"9"</f>
        <v>9</v>
      </c>
      <c r="AS33" t="str">
        <f>"9"</f>
        <v>9</v>
      </c>
      <c r="AT33" t="str">
        <f>"5"</f>
        <v>5</v>
      </c>
      <c r="AU33" t="str">
        <f>"katyushka01.12@mail.ru"</f>
        <v>katyushka01.12@mail.ru</v>
      </c>
      <c r="AV33" t="str">
        <f>"87018473207"</f>
        <v>87018473207</v>
      </c>
      <c r="AW33" t="s">
        <v>159</v>
      </c>
      <c r="AX33" t="s">
        <v>160</v>
      </c>
      <c r="AZ33" t="s">
        <v>211</v>
      </c>
      <c r="BD33" t="s">
        <v>190</v>
      </c>
      <c r="BE33" t="s">
        <v>122</v>
      </c>
      <c r="BF33">
        <v>1.5</v>
      </c>
      <c r="BG33" t="str">
        <f>"[24]"</f>
        <v>[24]</v>
      </c>
      <c r="BH33" t="s">
        <v>118</v>
      </c>
      <c r="BI33">
        <v>0</v>
      </c>
      <c r="BN33" t="s">
        <v>161</v>
      </c>
      <c r="BR33" t="s">
        <v>131</v>
      </c>
      <c r="BU33" t="s">
        <v>517</v>
      </c>
      <c r="BV33" t="s">
        <v>518</v>
      </c>
      <c r="BW33" t="s">
        <v>519</v>
      </c>
      <c r="BX33" t="s">
        <v>412</v>
      </c>
      <c r="BY33" t="s">
        <v>413</v>
      </c>
      <c r="BZ33" t="s">
        <v>520</v>
      </c>
      <c r="CA33" t="s">
        <v>521</v>
      </c>
      <c r="CB33" t="s">
        <v>522</v>
      </c>
      <c r="CC33" t="s">
        <v>523</v>
      </c>
      <c r="CD33" t="s">
        <v>190</v>
      </c>
      <c r="CE33" t="s">
        <v>524</v>
      </c>
      <c r="CF33" t="s">
        <v>153</v>
      </c>
      <c r="CI33" t="str">
        <f>"0"</f>
        <v>0</v>
      </c>
      <c r="CL33" t="s">
        <v>131</v>
      </c>
      <c r="CN33" t="s">
        <v>201</v>
      </c>
      <c r="CO33" t="s">
        <v>525</v>
      </c>
    </row>
    <row r="34" spans="1:93" hidden="1" x14ac:dyDescent="0.3">
      <c r="A34">
        <v>181207</v>
      </c>
      <c r="B34">
        <v>156169</v>
      </c>
      <c r="C34" t="str">
        <f>"650601401908"</f>
        <v>650601401908</v>
      </c>
      <c r="D34" t="s">
        <v>526</v>
      </c>
      <c r="E34" t="s">
        <v>271</v>
      </c>
      <c r="F34" t="s">
        <v>527</v>
      </c>
      <c r="G34" s="1">
        <v>23894</v>
      </c>
      <c r="I34" t="s">
        <v>106</v>
      </c>
      <c r="J34" t="s">
        <v>107</v>
      </c>
      <c r="K34" t="s">
        <v>392</v>
      </c>
      <c r="P34" t="s">
        <v>109</v>
      </c>
      <c r="Q34" t="s">
        <v>136</v>
      </c>
      <c r="W34" t="str">
        <f>"2007-08-27T00:00:00"</f>
        <v>2007-08-27T00:00:00</v>
      </c>
      <c r="X34" t="str">
        <f>"356"</f>
        <v>356</v>
      </c>
      <c r="Z34" t="s">
        <v>528</v>
      </c>
      <c r="AA34" t="s">
        <v>111</v>
      </c>
      <c r="AE34" t="s">
        <v>138</v>
      </c>
      <c r="AF34" t="s">
        <v>113</v>
      </c>
      <c r="AG34">
        <v>1.5</v>
      </c>
      <c r="AH34" t="s">
        <v>114</v>
      </c>
      <c r="AI34" t="s">
        <v>115</v>
      </c>
      <c r="AJ34" t="s">
        <v>116</v>
      </c>
      <c r="AN34" t="s">
        <v>117</v>
      </c>
      <c r="AO34" t="s">
        <v>118</v>
      </c>
      <c r="AP34" t="str">
        <f>"20"</f>
        <v>20</v>
      </c>
      <c r="AQ34" t="str">
        <f>"36"</f>
        <v>36</v>
      </c>
      <c r="AR34" t="str">
        <f>"33"</f>
        <v>33</v>
      </c>
      <c r="AS34" t="str">
        <f>"33"</f>
        <v>33</v>
      </c>
      <c r="AT34" t="str">
        <f>"16"</f>
        <v>16</v>
      </c>
      <c r="AU34" t="str">
        <f>"chernova0106@istl.ru"</f>
        <v>chernova0106@istl.ru</v>
      </c>
      <c r="AV34" t="str">
        <f>"87779625855"</f>
        <v>87779625855</v>
      </c>
      <c r="AW34" t="s">
        <v>231</v>
      </c>
      <c r="AX34" t="s">
        <v>160</v>
      </c>
      <c r="AY34" t="s">
        <v>210</v>
      </c>
      <c r="AZ34" t="s">
        <v>211</v>
      </c>
      <c r="BD34" t="s">
        <v>355</v>
      </c>
      <c r="BE34" t="s">
        <v>122</v>
      </c>
      <c r="BF34">
        <v>1.5</v>
      </c>
      <c r="BG34" t="str">
        <f>"[24]"</f>
        <v>[24]</v>
      </c>
      <c r="BH34" t="s">
        <v>529</v>
      </c>
      <c r="BI34">
        <v>0.7</v>
      </c>
      <c r="BJ34" t="s">
        <v>119</v>
      </c>
      <c r="BL34" t="s">
        <v>171</v>
      </c>
      <c r="BM34">
        <v>0</v>
      </c>
      <c r="BN34" t="s">
        <v>161</v>
      </c>
      <c r="BR34" t="s">
        <v>131</v>
      </c>
      <c r="BU34" t="s">
        <v>530</v>
      </c>
      <c r="BV34" t="s">
        <v>531</v>
      </c>
      <c r="BW34" t="s">
        <v>532</v>
      </c>
      <c r="BX34" t="s">
        <v>263</v>
      </c>
      <c r="BY34" t="s">
        <v>413</v>
      </c>
      <c r="BZ34" t="s">
        <v>533</v>
      </c>
      <c r="CA34" t="s">
        <v>534</v>
      </c>
      <c r="CB34" t="s">
        <v>535</v>
      </c>
      <c r="CC34" t="s">
        <v>536</v>
      </c>
      <c r="CD34" t="s">
        <v>355</v>
      </c>
      <c r="CE34" t="s">
        <v>537</v>
      </c>
      <c r="CF34" t="s">
        <v>153</v>
      </c>
      <c r="CI34" t="str">
        <f>"0"</f>
        <v>0</v>
      </c>
      <c r="CL34" t="s">
        <v>131</v>
      </c>
      <c r="CN34" t="s">
        <v>132</v>
      </c>
      <c r="CO34" t="s">
        <v>525</v>
      </c>
    </row>
    <row r="35" spans="1:93" x14ac:dyDescent="0.3">
      <c r="A35">
        <v>181228</v>
      </c>
      <c r="B35">
        <v>156185</v>
      </c>
      <c r="C35" t="str">
        <f>"851002450141"</f>
        <v>851002450141</v>
      </c>
      <c r="D35" t="s">
        <v>538</v>
      </c>
      <c r="E35" t="s">
        <v>539</v>
      </c>
      <c r="F35" t="s">
        <v>376</v>
      </c>
      <c r="G35" s="1">
        <v>31322</v>
      </c>
      <c r="I35" t="s">
        <v>106</v>
      </c>
      <c r="J35" t="s">
        <v>107</v>
      </c>
      <c r="K35" t="s">
        <v>205</v>
      </c>
      <c r="P35" t="s">
        <v>109</v>
      </c>
      <c r="Q35" t="s">
        <v>136</v>
      </c>
      <c r="W35" t="str">
        <f>"2013-09-02T00:00:00"</f>
        <v>2013-09-02T00:00:00</v>
      </c>
      <c r="X35" t="str">
        <f>"133"</f>
        <v>133</v>
      </c>
      <c r="Z35" t="s">
        <v>540</v>
      </c>
      <c r="AA35" t="s">
        <v>111</v>
      </c>
      <c r="AE35" t="s">
        <v>138</v>
      </c>
      <c r="AF35" t="s">
        <v>484</v>
      </c>
      <c r="AG35">
        <v>1.5</v>
      </c>
      <c r="AH35" t="s">
        <v>114</v>
      </c>
      <c r="AI35" t="s">
        <v>115</v>
      </c>
      <c r="AJ35" t="s">
        <v>485</v>
      </c>
      <c r="AN35" t="s">
        <v>486</v>
      </c>
      <c r="AP35" t="str">
        <f>"0"</f>
        <v>0</v>
      </c>
      <c r="AQ35" t="str">
        <f>"10"</f>
        <v>10</v>
      </c>
      <c r="AS35" t="str">
        <f>"0"</f>
        <v>0</v>
      </c>
      <c r="AT35" t="str">
        <f>"10"</f>
        <v>10</v>
      </c>
      <c r="AZ35" t="s">
        <v>130</v>
      </c>
      <c r="BH35" t="s">
        <v>118</v>
      </c>
      <c r="BI35">
        <v>0</v>
      </c>
      <c r="CE35" t="s">
        <v>130</v>
      </c>
    </row>
    <row r="36" spans="1:93" x14ac:dyDescent="0.3">
      <c r="A36">
        <v>181308</v>
      </c>
      <c r="B36">
        <v>156246</v>
      </c>
      <c r="C36" t="str">
        <f>"610102450430"</f>
        <v>610102450430</v>
      </c>
      <c r="D36" t="s">
        <v>541</v>
      </c>
      <c r="E36" t="s">
        <v>542</v>
      </c>
      <c r="F36" t="s">
        <v>543</v>
      </c>
      <c r="G36" s="1">
        <v>22283</v>
      </c>
      <c r="I36" t="s">
        <v>106</v>
      </c>
      <c r="J36" t="s">
        <v>107</v>
      </c>
      <c r="K36" t="s">
        <v>544</v>
      </c>
      <c r="P36" t="s">
        <v>109</v>
      </c>
      <c r="W36" t="str">
        <f>"2015-09-07T00:00:00"</f>
        <v>2015-09-07T00:00:00</v>
      </c>
      <c r="X36" t="str">
        <f>"140"</f>
        <v>140</v>
      </c>
      <c r="Z36" t="s">
        <v>110</v>
      </c>
      <c r="AA36" t="s">
        <v>111</v>
      </c>
      <c r="AE36" t="s">
        <v>138</v>
      </c>
      <c r="AF36" t="s">
        <v>484</v>
      </c>
      <c r="AG36">
        <v>1.5</v>
      </c>
      <c r="AH36" t="s">
        <v>114</v>
      </c>
      <c r="AI36" t="s">
        <v>115</v>
      </c>
      <c r="AJ36" t="s">
        <v>490</v>
      </c>
      <c r="AN36" t="s">
        <v>486</v>
      </c>
      <c r="AP36" t="str">
        <f>"23"</f>
        <v>23</v>
      </c>
      <c r="AQ36" t="str">
        <f>"31"</f>
        <v>31</v>
      </c>
      <c r="AS36" t="str">
        <f>"0"</f>
        <v>0</v>
      </c>
      <c r="AT36" t="str">
        <f>"8"</f>
        <v>8</v>
      </c>
      <c r="AZ36" t="s">
        <v>130</v>
      </c>
      <c r="BH36" t="s">
        <v>118</v>
      </c>
      <c r="BI36">
        <v>0</v>
      </c>
      <c r="CE36" t="s">
        <v>130</v>
      </c>
    </row>
    <row r="37" spans="1:93" hidden="1" x14ac:dyDescent="0.3">
      <c r="A37">
        <v>1723083</v>
      </c>
      <c r="B37">
        <v>1291913</v>
      </c>
      <c r="C37" t="str">
        <f>"940405351428"</f>
        <v>940405351428</v>
      </c>
      <c r="D37" t="s">
        <v>545</v>
      </c>
      <c r="E37" t="s">
        <v>546</v>
      </c>
      <c r="F37" t="s">
        <v>547</v>
      </c>
      <c r="G37" s="1">
        <v>34429</v>
      </c>
      <c r="I37" t="s">
        <v>548</v>
      </c>
      <c r="J37" t="s">
        <v>107</v>
      </c>
      <c r="K37" t="s">
        <v>108</v>
      </c>
      <c r="P37" t="s">
        <v>549</v>
      </c>
      <c r="Q37" t="s">
        <v>136</v>
      </c>
      <c r="W37" t="str">
        <f>"2019-09-02T00:00:00"</f>
        <v>2019-09-02T00:00:00</v>
      </c>
      <c r="X37" t="str">
        <f>"208"</f>
        <v>208</v>
      </c>
      <c r="Z37" t="s">
        <v>550</v>
      </c>
      <c r="AA37" t="s">
        <v>111</v>
      </c>
      <c r="AE37" t="s">
        <v>138</v>
      </c>
      <c r="AF37" t="s">
        <v>551</v>
      </c>
      <c r="AG37">
        <v>1</v>
      </c>
      <c r="AH37" t="s">
        <v>114</v>
      </c>
      <c r="AI37" t="s">
        <v>115</v>
      </c>
      <c r="AJ37" t="s">
        <v>116</v>
      </c>
      <c r="AN37" t="s">
        <v>117</v>
      </c>
      <c r="AO37" t="s">
        <v>118</v>
      </c>
      <c r="AP37" t="str">
        <f>"2"</f>
        <v>2</v>
      </c>
      <c r="AQ37" t="str">
        <f>"6"</f>
        <v>6</v>
      </c>
      <c r="AR37" t="str">
        <f>"4"</f>
        <v>4</v>
      </c>
      <c r="AS37" t="str">
        <f>"4"</f>
        <v>4</v>
      </c>
      <c r="AT37" t="str">
        <f>"4"</f>
        <v>4</v>
      </c>
      <c r="AU37" t="str">
        <f>"nursultan.1994.kz.step@gmail.ru"</f>
        <v>nursultan.1994.kz.step@gmail.ru</v>
      </c>
      <c r="AV37" t="str">
        <f>"87772052027"</f>
        <v>87772052027</v>
      </c>
      <c r="AW37" t="s">
        <v>119</v>
      </c>
      <c r="AZ37" t="s">
        <v>120</v>
      </c>
      <c r="BD37" t="s">
        <v>552</v>
      </c>
      <c r="BE37" t="s">
        <v>122</v>
      </c>
      <c r="BH37" t="s">
        <v>113</v>
      </c>
      <c r="BI37">
        <v>0.3</v>
      </c>
      <c r="BJ37" t="s">
        <v>119</v>
      </c>
      <c r="BL37" t="s">
        <v>553</v>
      </c>
      <c r="BM37">
        <v>0.3</v>
      </c>
      <c r="BN37" t="s">
        <v>142</v>
      </c>
      <c r="BR37" t="s">
        <v>131</v>
      </c>
      <c r="BS37" t="s">
        <v>554</v>
      </c>
      <c r="BU37" t="s">
        <v>555</v>
      </c>
      <c r="BV37" t="s">
        <v>556</v>
      </c>
      <c r="BW37" t="s">
        <v>557</v>
      </c>
      <c r="BX37" t="s">
        <v>250</v>
      </c>
      <c r="BY37" t="s">
        <v>558</v>
      </c>
      <c r="BZ37" t="s">
        <v>559</v>
      </c>
      <c r="CA37" t="s">
        <v>560</v>
      </c>
      <c r="CB37" t="s">
        <v>561</v>
      </c>
      <c r="CC37" t="s">
        <v>562</v>
      </c>
      <c r="CD37" t="s">
        <v>553</v>
      </c>
      <c r="CE37" t="s">
        <v>563</v>
      </c>
      <c r="CF37" t="s">
        <v>153</v>
      </c>
      <c r="CI37" t="str">
        <f>"0"</f>
        <v>0</v>
      </c>
      <c r="CL37" t="s">
        <v>136</v>
      </c>
      <c r="CN37" t="s">
        <v>132</v>
      </c>
      <c r="CO37" t="s">
        <v>118</v>
      </c>
    </row>
    <row r="38" spans="1:93" hidden="1" x14ac:dyDescent="0.3">
      <c r="A38">
        <v>1723276</v>
      </c>
      <c r="B38">
        <v>1292005</v>
      </c>
      <c r="C38" t="str">
        <f>"010427650811"</f>
        <v>010427650811</v>
      </c>
      <c r="D38" t="s">
        <v>564</v>
      </c>
      <c r="E38" t="s">
        <v>565</v>
      </c>
      <c r="F38" t="s">
        <v>566</v>
      </c>
      <c r="G38" s="1">
        <v>37008</v>
      </c>
      <c r="I38" t="s">
        <v>106</v>
      </c>
      <c r="J38" t="s">
        <v>107</v>
      </c>
      <c r="K38" t="s">
        <v>108</v>
      </c>
      <c r="P38" t="s">
        <v>109</v>
      </c>
      <c r="Q38" t="s">
        <v>136</v>
      </c>
      <c r="W38" t="str">
        <f>"2023-07-10T00:00:00"</f>
        <v>2023-07-10T00:00:00</v>
      </c>
      <c r="X38" t="str">
        <f>"3"</f>
        <v>3</v>
      </c>
      <c r="Z38" t="s">
        <v>396</v>
      </c>
      <c r="AA38" t="s">
        <v>111</v>
      </c>
      <c r="AE38" t="s">
        <v>112</v>
      </c>
      <c r="AF38" t="s">
        <v>113</v>
      </c>
      <c r="AG38">
        <v>0</v>
      </c>
      <c r="AH38" t="s">
        <v>114</v>
      </c>
      <c r="AI38" t="s">
        <v>115</v>
      </c>
      <c r="AJ38" t="s">
        <v>208</v>
      </c>
      <c r="AN38" t="s">
        <v>117</v>
      </c>
      <c r="AO38" t="s">
        <v>118</v>
      </c>
      <c r="AP38" t="str">
        <f>"8"</f>
        <v>8</v>
      </c>
      <c r="AQ38" t="str">
        <f>"8"</f>
        <v>8</v>
      </c>
      <c r="AR38" t="str">
        <f>"0"</f>
        <v>0</v>
      </c>
      <c r="AS38" t="str">
        <f>"0"</f>
        <v>0</v>
      </c>
      <c r="AT38" t="str">
        <f>"0"</f>
        <v>0</v>
      </c>
      <c r="AU38" t="str">
        <f>"kayratova.1994@mail.ru"</f>
        <v>kayratova.1994@mail.ru</v>
      </c>
      <c r="AV38" t="str">
        <f>"87762239173"</f>
        <v>87762239173</v>
      </c>
      <c r="AW38" t="s">
        <v>119</v>
      </c>
      <c r="AZ38" t="s">
        <v>189</v>
      </c>
      <c r="BD38" t="s">
        <v>567</v>
      </c>
      <c r="BE38" t="s">
        <v>213</v>
      </c>
      <c r="BF38">
        <v>0</v>
      </c>
      <c r="BG38" t="str">
        <f>"[0]"</f>
        <v>[0]</v>
      </c>
      <c r="BH38" t="s">
        <v>118</v>
      </c>
      <c r="BI38">
        <v>0</v>
      </c>
      <c r="BU38" t="s">
        <v>123</v>
      </c>
      <c r="BV38" t="s">
        <v>567</v>
      </c>
      <c r="BW38" t="s">
        <v>568</v>
      </c>
      <c r="BX38" t="s">
        <v>569</v>
      </c>
      <c r="BY38" t="s">
        <v>570</v>
      </c>
      <c r="BZ38">
        <v>80</v>
      </c>
      <c r="CA38" t="s">
        <v>571</v>
      </c>
      <c r="CB38" t="s">
        <v>572</v>
      </c>
      <c r="CC38">
        <v>372235</v>
      </c>
      <c r="CD38" t="s">
        <v>171</v>
      </c>
      <c r="CE38" t="s">
        <v>573</v>
      </c>
      <c r="CI38" t="str">
        <f>"0"</f>
        <v>0</v>
      </c>
      <c r="CL38" t="s">
        <v>136</v>
      </c>
      <c r="CN38" t="s">
        <v>132</v>
      </c>
      <c r="CO38" t="s">
        <v>118</v>
      </c>
    </row>
    <row r="39" spans="1:93" hidden="1" x14ac:dyDescent="0.3">
      <c r="A39">
        <v>1729023</v>
      </c>
      <c r="B39">
        <v>141714</v>
      </c>
      <c r="C39" t="str">
        <f>"881122451485"</f>
        <v>881122451485</v>
      </c>
      <c r="D39" t="s">
        <v>574</v>
      </c>
      <c r="E39" t="s">
        <v>483</v>
      </c>
      <c r="F39" t="s">
        <v>458</v>
      </c>
      <c r="G39" s="1">
        <v>32469</v>
      </c>
      <c r="I39" t="s">
        <v>106</v>
      </c>
      <c r="J39" t="s">
        <v>107</v>
      </c>
      <c r="K39" t="s">
        <v>205</v>
      </c>
      <c r="P39" t="s">
        <v>109</v>
      </c>
      <c r="Q39" t="s">
        <v>136</v>
      </c>
      <c r="W39" t="str">
        <f>"2018-08-13T00:00:00"</f>
        <v>2018-08-13T00:00:00</v>
      </c>
      <c r="X39" t="str">
        <f>"189"</f>
        <v>189</v>
      </c>
      <c r="Z39" t="s">
        <v>396</v>
      </c>
      <c r="AA39" t="s">
        <v>111</v>
      </c>
      <c r="AE39" t="s">
        <v>138</v>
      </c>
      <c r="AF39" t="s">
        <v>113</v>
      </c>
      <c r="AG39">
        <v>1.5</v>
      </c>
      <c r="AH39" t="s">
        <v>114</v>
      </c>
      <c r="AI39" t="s">
        <v>115</v>
      </c>
      <c r="AJ39" t="s">
        <v>116</v>
      </c>
      <c r="AN39" t="s">
        <v>117</v>
      </c>
      <c r="AO39" t="s">
        <v>118</v>
      </c>
      <c r="AP39" t="str">
        <f>"2"</f>
        <v>2</v>
      </c>
      <c r="AQ39" t="str">
        <f>"7"</f>
        <v>7</v>
      </c>
      <c r="AR39" t="str">
        <f>"7"</f>
        <v>7</v>
      </c>
      <c r="AS39" t="str">
        <f>"7"</f>
        <v>7</v>
      </c>
      <c r="AT39" t="str">
        <f>"5"</f>
        <v>5</v>
      </c>
      <c r="AU39" t="str">
        <f>"oksano4ka_v88@mail.ru"</f>
        <v>oksano4ka_v88@mail.ru</v>
      </c>
      <c r="AV39" t="str">
        <f>"87024418851"</f>
        <v>87024418851</v>
      </c>
      <c r="AW39" t="s">
        <v>159</v>
      </c>
      <c r="AX39" t="s">
        <v>423</v>
      </c>
      <c r="AZ39" t="s">
        <v>211</v>
      </c>
      <c r="BD39" t="s">
        <v>320</v>
      </c>
      <c r="BE39" t="s">
        <v>122</v>
      </c>
      <c r="BF39">
        <v>1.5</v>
      </c>
      <c r="BG39" t="str">
        <f>"[24]"</f>
        <v>[24]</v>
      </c>
      <c r="BH39" t="s">
        <v>118</v>
      </c>
      <c r="BI39">
        <v>0</v>
      </c>
      <c r="BN39" t="s">
        <v>161</v>
      </c>
      <c r="BR39" t="s">
        <v>131</v>
      </c>
      <c r="BU39" t="s">
        <v>575</v>
      </c>
      <c r="BV39" t="s">
        <v>576</v>
      </c>
      <c r="BW39" t="s">
        <v>577</v>
      </c>
      <c r="BX39" t="s">
        <v>218</v>
      </c>
      <c r="BY39" t="s">
        <v>219</v>
      </c>
      <c r="BZ39" t="s">
        <v>578</v>
      </c>
      <c r="CA39" t="s">
        <v>579</v>
      </c>
      <c r="CB39" t="s">
        <v>580</v>
      </c>
      <c r="CC39" t="s">
        <v>581</v>
      </c>
      <c r="CD39" t="s">
        <v>320</v>
      </c>
      <c r="CE39" t="s">
        <v>582</v>
      </c>
      <c r="CF39" t="s">
        <v>153</v>
      </c>
      <c r="CI39" t="str">
        <f>"0"</f>
        <v>0</v>
      </c>
      <c r="CL39" t="s">
        <v>131</v>
      </c>
      <c r="CN39" t="s">
        <v>132</v>
      </c>
      <c r="CO39" t="s">
        <v>118</v>
      </c>
    </row>
    <row r="40" spans="1:93" x14ac:dyDescent="0.3">
      <c r="A40">
        <v>1738877</v>
      </c>
      <c r="B40">
        <v>1300168</v>
      </c>
      <c r="C40" t="str">
        <f>"660104450282"</f>
        <v>660104450282</v>
      </c>
      <c r="D40" t="s">
        <v>583</v>
      </c>
      <c r="E40" t="s">
        <v>584</v>
      </c>
      <c r="F40" t="s">
        <v>433</v>
      </c>
      <c r="G40" s="1">
        <v>24111</v>
      </c>
      <c r="I40" t="s">
        <v>106</v>
      </c>
      <c r="J40" t="s">
        <v>107</v>
      </c>
      <c r="K40" t="s">
        <v>273</v>
      </c>
      <c r="P40" t="s">
        <v>109</v>
      </c>
      <c r="W40" t="str">
        <f>"2019-03-01T00:00:00"</f>
        <v>2019-03-01T00:00:00</v>
      </c>
      <c r="X40" t="str">
        <f>"62"</f>
        <v>62</v>
      </c>
      <c r="Z40" t="s">
        <v>540</v>
      </c>
      <c r="AA40" t="s">
        <v>111</v>
      </c>
      <c r="AE40" t="s">
        <v>138</v>
      </c>
      <c r="AF40" t="s">
        <v>585</v>
      </c>
      <c r="AG40">
        <v>1</v>
      </c>
      <c r="AH40" t="s">
        <v>114</v>
      </c>
      <c r="AI40" t="s">
        <v>115</v>
      </c>
      <c r="AJ40" t="s">
        <v>208</v>
      </c>
      <c r="AN40" t="s">
        <v>486</v>
      </c>
      <c r="AP40" t="str">
        <f>"29"</f>
        <v>29</v>
      </c>
      <c r="AQ40" t="str">
        <f>"33"</f>
        <v>33</v>
      </c>
      <c r="AS40" t="str">
        <f>"0"</f>
        <v>0</v>
      </c>
      <c r="AT40" t="str">
        <f>"4"</f>
        <v>4</v>
      </c>
      <c r="BH40" t="s">
        <v>489</v>
      </c>
      <c r="BI40">
        <v>0.5</v>
      </c>
      <c r="CE40" t="s">
        <v>130</v>
      </c>
    </row>
    <row r="41" spans="1:93" hidden="1" x14ac:dyDescent="0.3">
      <c r="A41">
        <v>1922592</v>
      </c>
      <c r="B41">
        <v>368754</v>
      </c>
      <c r="C41" t="str">
        <f>"950428400724"</f>
        <v>950428400724</v>
      </c>
      <c r="D41" t="s">
        <v>586</v>
      </c>
      <c r="E41" t="s">
        <v>587</v>
      </c>
      <c r="G41" s="1">
        <v>34817</v>
      </c>
      <c r="I41" t="s">
        <v>106</v>
      </c>
      <c r="J41" t="s">
        <v>107</v>
      </c>
      <c r="K41" t="s">
        <v>108</v>
      </c>
      <c r="P41" t="s">
        <v>109</v>
      </c>
      <c r="Q41" t="s">
        <v>136</v>
      </c>
      <c r="W41" t="str">
        <f>"2023-05-05T00:00:00"</f>
        <v>2023-05-05T00:00:00</v>
      </c>
      <c r="X41" t="str">
        <f>"4"</f>
        <v>4</v>
      </c>
      <c r="Z41" t="s">
        <v>110</v>
      </c>
      <c r="AA41" t="s">
        <v>111</v>
      </c>
      <c r="AE41" t="s">
        <v>112</v>
      </c>
      <c r="AF41" t="s">
        <v>113</v>
      </c>
      <c r="AG41">
        <v>0</v>
      </c>
      <c r="AH41" t="s">
        <v>114</v>
      </c>
      <c r="AI41" t="s">
        <v>229</v>
      </c>
      <c r="AJ41" t="s">
        <v>230</v>
      </c>
      <c r="AN41" t="s">
        <v>117</v>
      </c>
      <c r="AO41" t="s">
        <v>118</v>
      </c>
      <c r="AP41" t="str">
        <f>"1"</f>
        <v>1</v>
      </c>
      <c r="AQ41" t="str">
        <f>"1"</f>
        <v>1</v>
      </c>
      <c r="AR41" t="str">
        <f>"1"</f>
        <v>1</v>
      </c>
      <c r="AS41" t="str">
        <f>"1"</f>
        <v>1</v>
      </c>
      <c r="AT41" t="str">
        <f>"0"</f>
        <v>0</v>
      </c>
      <c r="AU41" t="str">
        <f>"1995aliya@mail.ru"</f>
        <v>1995aliya@mail.ru</v>
      </c>
      <c r="AV41" t="str">
        <f>"87051101911"</f>
        <v>87051101911</v>
      </c>
      <c r="AW41" t="s">
        <v>119</v>
      </c>
      <c r="AZ41" t="s">
        <v>177</v>
      </c>
      <c r="BD41" t="s">
        <v>190</v>
      </c>
      <c r="BE41" t="s">
        <v>122</v>
      </c>
      <c r="BF41">
        <v>0</v>
      </c>
      <c r="BG41" t="str">
        <f>"[0]"</f>
        <v>[0]</v>
      </c>
      <c r="BH41" t="s">
        <v>118</v>
      </c>
      <c r="BI41">
        <v>0</v>
      </c>
      <c r="BU41" t="s">
        <v>588</v>
      </c>
      <c r="CD41" t="s">
        <v>190</v>
      </c>
      <c r="CE41" t="s">
        <v>589</v>
      </c>
      <c r="CI41" t="str">
        <f>"4"</f>
        <v>4</v>
      </c>
      <c r="CL41" t="s">
        <v>136</v>
      </c>
      <c r="CN41" t="s">
        <v>201</v>
      </c>
      <c r="CO41" t="s">
        <v>118</v>
      </c>
    </row>
    <row r="42" spans="1:93" hidden="1" x14ac:dyDescent="0.3">
      <c r="A42">
        <v>1975443</v>
      </c>
      <c r="B42">
        <v>157538</v>
      </c>
      <c r="C42" t="str">
        <f>"701220450484"</f>
        <v>701220450484</v>
      </c>
      <c r="D42" t="s">
        <v>590</v>
      </c>
      <c r="E42" t="s">
        <v>375</v>
      </c>
      <c r="F42" t="s">
        <v>591</v>
      </c>
      <c r="G42" s="1">
        <v>25922</v>
      </c>
      <c r="I42" t="s">
        <v>106</v>
      </c>
      <c r="J42" t="s">
        <v>107</v>
      </c>
      <c r="K42" t="s">
        <v>205</v>
      </c>
      <c r="P42" t="s">
        <v>109</v>
      </c>
      <c r="Q42" t="s">
        <v>136</v>
      </c>
      <c r="W42" t="str">
        <f>"2020-08-25T00:00:00"</f>
        <v>2020-08-25T00:00:00</v>
      </c>
      <c r="X42" t="str">
        <f>"176"</f>
        <v>176</v>
      </c>
      <c r="Z42" t="s">
        <v>592</v>
      </c>
      <c r="AA42" t="s">
        <v>111</v>
      </c>
      <c r="AE42" t="s">
        <v>138</v>
      </c>
      <c r="AF42" t="s">
        <v>113</v>
      </c>
      <c r="AG42">
        <v>1</v>
      </c>
      <c r="AH42" t="s">
        <v>114</v>
      </c>
      <c r="AI42" t="s">
        <v>229</v>
      </c>
      <c r="AJ42" t="s">
        <v>230</v>
      </c>
      <c r="AN42" t="s">
        <v>117</v>
      </c>
      <c r="AO42" t="s">
        <v>118</v>
      </c>
      <c r="AP42" t="str">
        <f>"26"</f>
        <v>26</v>
      </c>
      <c r="AQ42" t="str">
        <f>"29"</f>
        <v>29</v>
      </c>
      <c r="AR42" t="str">
        <f>"29"</f>
        <v>29</v>
      </c>
      <c r="AS42" t="str">
        <f>"29"</f>
        <v>29</v>
      </c>
      <c r="AT42" t="str">
        <f t="shared" ref="AT42:AT47" si="1">"3"</f>
        <v>3</v>
      </c>
      <c r="AU42" t="str">
        <f>"lena_astra70@mail.ru"</f>
        <v>lena_astra70@mail.ru</v>
      </c>
      <c r="AV42" t="str">
        <f>"87016128790"</f>
        <v>87016128790</v>
      </c>
      <c r="AW42" t="s">
        <v>159</v>
      </c>
      <c r="AX42" t="s">
        <v>232</v>
      </c>
      <c r="AZ42" t="s">
        <v>211</v>
      </c>
      <c r="BD42" t="s">
        <v>593</v>
      </c>
      <c r="BE42" t="s">
        <v>122</v>
      </c>
      <c r="BF42">
        <v>1</v>
      </c>
      <c r="BG42" t="str">
        <f>"[16]"</f>
        <v>[16]</v>
      </c>
      <c r="BH42" t="s">
        <v>113</v>
      </c>
      <c r="BI42">
        <v>0.5</v>
      </c>
      <c r="BJ42" t="s">
        <v>119</v>
      </c>
      <c r="BL42" t="s">
        <v>121</v>
      </c>
      <c r="BM42">
        <v>0.5</v>
      </c>
      <c r="BN42" t="s">
        <v>161</v>
      </c>
      <c r="BR42" t="s">
        <v>131</v>
      </c>
      <c r="BU42" t="s">
        <v>594</v>
      </c>
      <c r="BV42" t="s">
        <v>595</v>
      </c>
      <c r="BW42" t="s">
        <v>596</v>
      </c>
      <c r="BX42" t="s">
        <v>597</v>
      </c>
      <c r="BY42" t="s">
        <v>464</v>
      </c>
      <c r="BZ42" t="s">
        <v>598</v>
      </c>
      <c r="CA42" t="s">
        <v>599</v>
      </c>
      <c r="CB42" t="s">
        <v>600</v>
      </c>
      <c r="CC42" t="s">
        <v>601</v>
      </c>
      <c r="CD42" t="s">
        <v>593</v>
      </c>
      <c r="CE42" t="s">
        <v>602</v>
      </c>
      <c r="CF42" t="s">
        <v>153</v>
      </c>
      <c r="CI42" t="str">
        <f t="shared" ref="CI42:CI51" si="2">"0"</f>
        <v>0</v>
      </c>
      <c r="CL42" t="s">
        <v>131</v>
      </c>
      <c r="CN42" t="s">
        <v>132</v>
      </c>
      <c r="CO42" t="s">
        <v>118</v>
      </c>
    </row>
    <row r="43" spans="1:93" hidden="1" x14ac:dyDescent="0.3">
      <c r="A43">
        <v>1975587</v>
      </c>
      <c r="B43">
        <v>1434393</v>
      </c>
      <c r="C43" t="str">
        <f>"980227351428"</f>
        <v>980227351428</v>
      </c>
      <c r="D43" t="s">
        <v>603</v>
      </c>
      <c r="E43" t="s">
        <v>604</v>
      </c>
      <c r="G43" s="1">
        <v>35853</v>
      </c>
      <c r="I43" t="s">
        <v>106</v>
      </c>
      <c r="J43" t="s">
        <v>107</v>
      </c>
      <c r="K43" t="s">
        <v>108</v>
      </c>
      <c r="P43" t="s">
        <v>109</v>
      </c>
      <c r="Q43" t="s">
        <v>136</v>
      </c>
      <c r="W43" t="str">
        <f>"2020-08-29T00:00:00"</f>
        <v>2020-08-29T00:00:00</v>
      </c>
      <c r="X43" t="str">
        <f>"183"</f>
        <v>183</v>
      </c>
      <c r="Z43" t="s">
        <v>110</v>
      </c>
      <c r="AA43" t="s">
        <v>111</v>
      </c>
      <c r="AE43" t="s">
        <v>138</v>
      </c>
      <c r="AF43" t="s">
        <v>113</v>
      </c>
      <c r="AG43">
        <v>1.5</v>
      </c>
      <c r="AH43" t="s">
        <v>114</v>
      </c>
      <c r="AI43" t="s">
        <v>115</v>
      </c>
      <c r="AJ43" t="s">
        <v>116</v>
      </c>
      <c r="AN43" t="s">
        <v>117</v>
      </c>
      <c r="AO43" t="s">
        <v>118</v>
      </c>
      <c r="AP43" t="str">
        <f>"3"</f>
        <v>3</v>
      </c>
      <c r="AQ43" t="str">
        <f>"6"</f>
        <v>6</v>
      </c>
      <c r="AR43" t="str">
        <f>"3"</f>
        <v>3</v>
      </c>
      <c r="AS43" t="str">
        <f>"3"</f>
        <v>3</v>
      </c>
      <c r="AT43" t="str">
        <f t="shared" si="1"/>
        <v>3</v>
      </c>
      <c r="AU43" t="str">
        <f>"ikrambekyzya@mail.ru"</f>
        <v>ikrambekyzya@mail.ru</v>
      </c>
      <c r="AV43" t="str">
        <f>"87718998618"</f>
        <v>87718998618</v>
      </c>
      <c r="AW43" t="s">
        <v>119</v>
      </c>
      <c r="AZ43" t="s">
        <v>189</v>
      </c>
      <c r="BD43" t="s">
        <v>397</v>
      </c>
      <c r="BE43" t="s">
        <v>122</v>
      </c>
      <c r="BF43">
        <v>1.5</v>
      </c>
      <c r="BG43" t="str">
        <f>"[24]"</f>
        <v>[24]</v>
      </c>
      <c r="BH43" t="s">
        <v>118</v>
      </c>
      <c r="BI43">
        <v>0</v>
      </c>
      <c r="BN43" t="s">
        <v>142</v>
      </c>
      <c r="BR43" t="s">
        <v>131</v>
      </c>
      <c r="BU43" t="s">
        <v>605</v>
      </c>
      <c r="BV43" t="s">
        <v>606</v>
      </c>
      <c r="BW43" t="s">
        <v>607</v>
      </c>
      <c r="BX43" t="s">
        <v>608</v>
      </c>
      <c r="BY43" t="s">
        <v>195</v>
      </c>
      <c r="BZ43" t="s">
        <v>609</v>
      </c>
      <c r="CA43" t="s">
        <v>610</v>
      </c>
      <c r="CB43" t="s">
        <v>611</v>
      </c>
      <c r="CC43" t="s">
        <v>612</v>
      </c>
      <c r="CD43" t="s">
        <v>397</v>
      </c>
      <c r="CE43" t="s">
        <v>613</v>
      </c>
      <c r="CF43" t="s">
        <v>153</v>
      </c>
      <c r="CI43" t="str">
        <f t="shared" si="2"/>
        <v>0</v>
      </c>
      <c r="CL43" t="s">
        <v>131</v>
      </c>
      <c r="CN43" t="s">
        <v>132</v>
      </c>
      <c r="CO43" t="s">
        <v>118</v>
      </c>
    </row>
    <row r="44" spans="1:93" hidden="1" x14ac:dyDescent="0.3">
      <c r="A44">
        <v>1981225</v>
      </c>
      <c r="B44">
        <v>156122</v>
      </c>
      <c r="C44" t="str">
        <f>"710402401444"</f>
        <v>710402401444</v>
      </c>
      <c r="D44" t="s">
        <v>614</v>
      </c>
      <c r="E44" t="s">
        <v>615</v>
      </c>
      <c r="F44" t="s">
        <v>616</v>
      </c>
      <c r="G44" s="1">
        <v>26025</v>
      </c>
      <c r="I44" t="s">
        <v>106</v>
      </c>
      <c r="J44" t="s">
        <v>107</v>
      </c>
      <c r="K44" t="s">
        <v>108</v>
      </c>
      <c r="P44" t="s">
        <v>109</v>
      </c>
      <c r="Q44" t="s">
        <v>136</v>
      </c>
      <c r="W44" t="str">
        <f>"2020-09-01T00:00:00"</f>
        <v>2020-09-01T00:00:00</v>
      </c>
      <c r="X44" t="str">
        <f>"192"</f>
        <v>192</v>
      </c>
      <c r="Z44" t="s">
        <v>110</v>
      </c>
      <c r="AA44" t="s">
        <v>111</v>
      </c>
      <c r="AE44" t="s">
        <v>138</v>
      </c>
      <c r="AF44" t="s">
        <v>113</v>
      </c>
      <c r="AG44">
        <v>1.5</v>
      </c>
      <c r="AH44" t="s">
        <v>114</v>
      </c>
      <c r="AI44" t="s">
        <v>115</v>
      </c>
      <c r="AJ44" t="s">
        <v>116</v>
      </c>
      <c r="AN44" t="s">
        <v>117</v>
      </c>
      <c r="AO44" t="s">
        <v>118</v>
      </c>
      <c r="AP44" t="str">
        <f>"19"</f>
        <v>19</v>
      </c>
      <c r="AQ44" t="str">
        <f>"22"</f>
        <v>22</v>
      </c>
      <c r="AR44" t="str">
        <f>"21"</f>
        <v>21</v>
      </c>
      <c r="AS44" t="str">
        <f>"21"</f>
        <v>21</v>
      </c>
      <c r="AT44" t="str">
        <f t="shared" si="1"/>
        <v>3</v>
      </c>
      <c r="AU44" t="str">
        <f>"zhuvarova71@mail.ru"</f>
        <v>zhuvarova71@mail.ru</v>
      </c>
      <c r="AV44" t="str">
        <f>"87055855524"</f>
        <v>87055855524</v>
      </c>
      <c r="AW44" t="s">
        <v>139</v>
      </c>
      <c r="AX44" t="s">
        <v>423</v>
      </c>
      <c r="AY44" t="s">
        <v>210</v>
      </c>
      <c r="AZ44" t="s">
        <v>211</v>
      </c>
      <c r="BD44" t="s">
        <v>141</v>
      </c>
      <c r="BE44" t="s">
        <v>122</v>
      </c>
      <c r="BF44">
        <v>1.5</v>
      </c>
      <c r="BG44" t="str">
        <f>"[24]"</f>
        <v>[24]</v>
      </c>
      <c r="BH44" t="s">
        <v>529</v>
      </c>
      <c r="BI44">
        <v>0.7</v>
      </c>
      <c r="BJ44" t="s">
        <v>119</v>
      </c>
      <c r="BL44" t="s">
        <v>171</v>
      </c>
      <c r="BM44">
        <v>0</v>
      </c>
      <c r="BN44" t="s">
        <v>161</v>
      </c>
      <c r="BR44" t="s">
        <v>131</v>
      </c>
      <c r="BU44" t="s">
        <v>617</v>
      </c>
      <c r="BV44" t="s">
        <v>618</v>
      </c>
      <c r="BW44" t="s">
        <v>619</v>
      </c>
      <c r="BX44" t="s">
        <v>620</v>
      </c>
      <c r="BY44" t="s">
        <v>621</v>
      </c>
      <c r="BZ44" t="s">
        <v>622</v>
      </c>
      <c r="CA44" t="s">
        <v>623</v>
      </c>
      <c r="CB44" t="s">
        <v>624</v>
      </c>
      <c r="CC44" t="s">
        <v>625</v>
      </c>
      <c r="CD44" t="s">
        <v>171</v>
      </c>
      <c r="CE44" t="s">
        <v>626</v>
      </c>
      <c r="CF44" t="s">
        <v>153</v>
      </c>
      <c r="CI44" t="str">
        <f t="shared" si="2"/>
        <v>0</v>
      </c>
      <c r="CL44" t="s">
        <v>136</v>
      </c>
      <c r="CN44" t="s">
        <v>132</v>
      </c>
      <c r="CO44" t="s">
        <v>244</v>
      </c>
    </row>
    <row r="45" spans="1:93" hidden="1" x14ac:dyDescent="0.3">
      <c r="A45">
        <v>1981470</v>
      </c>
      <c r="B45">
        <v>159414</v>
      </c>
      <c r="C45" t="str">
        <f>"740401300886"</f>
        <v>740401300886</v>
      </c>
      <c r="D45" t="s">
        <v>627</v>
      </c>
      <c r="E45" t="s">
        <v>628</v>
      </c>
      <c r="F45" t="s">
        <v>629</v>
      </c>
      <c r="G45" s="1">
        <v>27120</v>
      </c>
      <c r="I45" t="s">
        <v>548</v>
      </c>
      <c r="J45" t="s">
        <v>107</v>
      </c>
      <c r="K45" t="s">
        <v>108</v>
      </c>
      <c r="P45" t="s">
        <v>549</v>
      </c>
      <c r="Q45" t="s">
        <v>136</v>
      </c>
      <c r="W45" t="str">
        <f>"2020-08-28T00:00:00"</f>
        <v>2020-08-28T00:00:00</v>
      </c>
      <c r="X45" t="str">
        <f>"180"</f>
        <v>180</v>
      </c>
      <c r="Z45" t="s">
        <v>137</v>
      </c>
      <c r="AA45" t="s">
        <v>111</v>
      </c>
      <c r="AE45" t="s">
        <v>138</v>
      </c>
      <c r="AF45" t="s">
        <v>113</v>
      </c>
      <c r="AG45">
        <v>1.5</v>
      </c>
      <c r="AH45" t="s">
        <v>114</v>
      </c>
      <c r="AI45" t="s">
        <v>115</v>
      </c>
      <c r="AJ45" t="s">
        <v>116</v>
      </c>
      <c r="AN45" t="s">
        <v>117</v>
      </c>
      <c r="AO45" t="s">
        <v>118</v>
      </c>
      <c r="AP45" t="str">
        <f>"22"</f>
        <v>22</v>
      </c>
      <c r="AQ45" t="str">
        <f>"25"</f>
        <v>25</v>
      </c>
      <c r="AR45" t="str">
        <f>"25"</f>
        <v>25</v>
      </c>
      <c r="AS45" t="str">
        <f>"25"</f>
        <v>25</v>
      </c>
      <c r="AT45" t="str">
        <f t="shared" si="1"/>
        <v>3</v>
      </c>
      <c r="AU45" t="str">
        <f>"kayrat.kabylbayev@bk.ru"</f>
        <v>kayrat.kabylbayev@bk.ru</v>
      </c>
      <c r="AV45" t="str">
        <f>"87759484541"</f>
        <v>87759484541</v>
      </c>
      <c r="AW45" t="s">
        <v>630</v>
      </c>
      <c r="AX45" t="s">
        <v>631</v>
      </c>
      <c r="AZ45" t="s">
        <v>211</v>
      </c>
      <c r="BD45" t="s">
        <v>553</v>
      </c>
      <c r="BE45" t="s">
        <v>122</v>
      </c>
      <c r="BF45">
        <v>1.5</v>
      </c>
      <c r="BG45" t="str">
        <f>"[24]"</f>
        <v>[24]</v>
      </c>
      <c r="BH45" t="s">
        <v>118</v>
      </c>
      <c r="BI45">
        <v>0</v>
      </c>
      <c r="BN45" t="s">
        <v>161</v>
      </c>
      <c r="BR45" t="s">
        <v>131</v>
      </c>
      <c r="BU45" t="s">
        <v>632</v>
      </c>
      <c r="BV45" t="s">
        <v>633</v>
      </c>
      <c r="BW45" t="s">
        <v>634</v>
      </c>
      <c r="BX45" t="s">
        <v>635</v>
      </c>
      <c r="BY45" t="s">
        <v>279</v>
      </c>
      <c r="BZ45" t="s">
        <v>636</v>
      </c>
      <c r="CA45" t="s">
        <v>637</v>
      </c>
      <c r="CB45" t="s">
        <v>638</v>
      </c>
      <c r="CC45" t="s">
        <v>639</v>
      </c>
      <c r="CD45" t="s">
        <v>553</v>
      </c>
      <c r="CE45" t="s">
        <v>640</v>
      </c>
      <c r="CF45" t="s">
        <v>153</v>
      </c>
      <c r="CI45" t="str">
        <f t="shared" si="2"/>
        <v>0</v>
      </c>
      <c r="CJ45" t="s">
        <v>136</v>
      </c>
      <c r="CL45" t="s">
        <v>136</v>
      </c>
      <c r="CN45" t="s">
        <v>132</v>
      </c>
      <c r="CO45" t="s">
        <v>118</v>
      </c>
    </row>
    <row r="46" spans="1:93" hidden="1" x14ac:dyDescent="0.3">
      <c r="A46">
        <v>1983571</v>
      </c>
      <c r="B46">
        <v>144175</v>
      </c>
      <c r="C46" t="str">
        <f>"890519450830"</f>
        <v>890519450830</v>
      </c>
      <c r="D46" t="s">
        <v>641</v>
      </c>
      <c r="E46" t="s">
        <v>642</v>
      </c>
      <c r="F46" t="s">
        <v>287</v>
      </c>
      <c r="G46" s="1">
        <v>32647</v>
      </c>
      <c r="I46" t="s">
        <v>106</v>
      </c>
      <c r="J46" t="s">
        <v>107</v>
      </c>
      <c r="K46" t="s">
        <v>108</v>
      </c>
      <c r="P46" t="s">
        <v>109</v>
      </c>
      <c r="Q46" t="s">
        <v>136</v>
      </c>
      <c r="W46" t="str">
        <f>"2020-08-25T00:00:00"</f>
        <v>2020-08-25T00:00:00</v>
      </c>
      <c r="X46" t="str">
        <f>"175"</f>
        <v>175</v>
      </c>
      <c r="Z46" t="s">
        <v>396</v>
      </c>
      <c r="AA46" t="s">
        <v>111</v>
      </c>
      <c r="AE46" t="s">
        <v>138</v>
      </c>
      <c r="AF46" t="s">
        <v>207</v>
      </c>
      <c r="AG46">
        <v>0.9</v>
      </c>
      <c r="AH46" t="s">
        <v>114</v>
      </c>
      <c r="AI46" t="s">
        <v>115</v>
      </c>
      <c r="AJ46" t="s">
        <v>208</v>
      </c>
      <c r="AN46" t="s">
        <v>117</v>
      </c>
      <c r="AO46" t="s">
        <v>118</v>
      </c>
      <c r="AP46" t="str">
        <f>"6"</f>
        <v>6</v>
      </c>
      <c r="AQ46" t="str">
        <f>"9"</f>
        <v>9</v>
      </c>
      <c r="AR46" t="str">
        <f>"9"</f>
        <v>9</v>
      </c>
      <c r="AS46" t="str">
        <f>"9"</f>
        <v>9</v>
      </c>
      <c r="AT46" t="str">
        <f t="shared" si="1"/>
        <v>3</v>
      </c>
      <c r="AU46" t="str">
        <f>"Www.shynar@bk.ru"</f>
        <v>Www.shynar@bk.ru</v>
      </c>
      <c r="AV46" t="str">
        <f>"87056610071"</f>
        <v>87056610071</v>
      </c>
      <c r="AW46" t="s">
        <v>119</v>
      </c>
      <c r="AZ46" t="s">
        <v>211</v>
      </c>
      <c r="BD46" t="s">
        <v>212</v>
      </c>
      <c r="BE46" t="s">
        <v>213</v>
      </c>
      <c r="BF46">
        <v>0.9</v>
      </c>
      <c r="BG46" t="str">
        <f>"[14]"</f>
        <v>[14]</v>
      </c>
      <c r="BH46" t="s">
        <v>643</v>
      </c>
      <c r="BI46">
        <v>1</v>
      </c>
      <c r="BJ46" t="s">
        <v>119</v>
      </c>
      <c r="BN46" t="s">
        <v>161</v>
      </c>
      <c r="BR46" t="s">
        <v>131</v>
      </c>
      <c r="BU46" t="s">
        <v>644</v>
      </c>
      <c r="BV46" t="s">
        <v>645</v>
      </c>
      <c r="BW46" t="s">
        <v>646</v>
      </c>
      <c r="BX46" t="s">
        <v>647</v>
      </c>
      <c r="BY46" t="s">
        <v>279</v>
      </c>
      <c r="BZ46" t="s">
        <v>648</v>
      </c>
      <c r="CA46" t="s">
        <v>649</v>
      </c>
      <c r="CB46" t="s">
        <v>650</v>
      </c>
      <c r="CC46" t="s">
        <v>651</v>
      </c>
      <c r="CD46" t="s">
        <v>171</v>
      </c>
      <c r="CE46" t="s">
        <v>224</v>
      </c>
      <c r="CF46" s="2">
        <v>45383</v>
      </c>
      <c r="CI46" t="str">
        <f t="shared" si="2"/>
        <v>0</v>
      </c>
      <c r="CJ46" t="s">
        <v>136</v>
      </c>
      <c r="CL46" t="s">
        <v>131</v>
      </c>
      <c r="CN46" t="s">
        <v>132</v>
      </c>
      <c r="CO46" t="s">
        <v>185</v>
      </c>
    </row>
    <row r="47" spans="1:93" hidden="1" x14ac:dyDescent="0.3">
      <c r="A47">
        <v>1984011</v>
      </c>
      <c r="B47">
        <v>1399115</v>
      </c>
      <c r="C47" t="str">
        <f>"990914451440"</f>
        <v>990914451440</v>
      </c>
      <c r="D47" t="s">
        <v>652</v>
      </c>
      <c r="E47" t="s">
        <v>653</v>
      </c>
      <c r="G47" s="1">
        <v>36417</v>
      </c>
      <c r="I47" t="s">
        <v>106</v>
      </c>
      <c r="J47" t="s">
        <v>107</v>
      </c>
      <c r="K47" t="s">
        <v>108</v>
      </c>
      <c r="P47" t="s">
        <v>109</v>
      </c>
      <c r="Q47" t="s">
        <v>136</v>
      </c>
      <c r="W47" t="str">
        <f>"2020-08-25T00:00:00"</f>
        <v>2020-08-25T00:00:00</v>
      </c>
      <c r="X47" t="str">
        <f>"174"</f>
        <v>174</v>
      </c>
      <c r="Z47" t="s">
        <v>342</v>
      </c>
      <c r="AA47" t="s">
        <v>111</v>
      </c>
      <c r="AE47" t="s">
        <v>138</v>
      </c>
      <c r="AF47" t="s">
        <v>654</v>
      </c>
      <c r="AG47">
        <v>1.3</v>
      </c>
      <c r="AH47" t="s">
        <v>114</v>
      </c>
      <c r="AI47" t="s">
        <v>115</v>
      </c>
      <c r="AJ47" t="s">
        <v>208</v>
      </c>
      <c r="AN47" t="s">
        <v>117</v>
      </c>
      <c r="AO47" t="s">
        <v>118</v>
      </c>
      <c r="AP47" t="str">
        <f>"1"</f>
        <v>1</v>
      </c>
      <c r="AQ47" t="str">
        <f>"4"</f>
        <v>4</v>
      </c>
      <c r="AR47" t="str">
        <f>"4"</f>
        <v>4</v>
      </c>
      <c r="AS47" t="str">
        <f>"4"</f>
        <v>4</v>
      </c>
      <c r="AT47" t="str">
        <f t="shared" si="1"/>
        <v>3</v>
      </c>
      <c r="AU47" t="str">
        <f>"ayanur.murat@mail.ru"</f>
        <v>ayanur.murat@mail.ru</v>
      </c>
      <c r="AV47" t="str">
        <f>"87774823795"</f>
        <v>87774823795</v>
      </c>
      <c r="AW47" t="s">
        <v>119</v>
      </c>
      <c r="AZ47" t="s">
        <v>189</v>
      </c>
      <c r="BH47" t="s">
        <v>118</v>
      </c>
      <c r="BI47">
        <v>0</v>
      </c>
      <c r="BN47" t="s">
        <v>142</v>
      </c>
      <c r="BR47" t="s">
        <v>131</v>
      </c>
      <c r="BU47" t="s">
        <v>655</v>
      </c>
      <c r="BV47" t="s">
        <v>426</v>
      </c>
      <c r="BW47" t="s">
        <v>656</v>
      </c>
      <c r="BX47" t="s">
        <v>657</v>
      </c>
      <c r="BY47" t="s">
        <v>311</v>
      </c>
      <c r="BZ47" t="s">
        <v>658</v>
      </c>
      <c r="CA47" t="s">
        <v>659</v>
      </c>
      <c r="CB47" t="s">
        <v>660</v>
      </c>
      <c r="CC47" t="s">
        <v>661</v>
      </c>
      <c r="CD47" t="s">
        <v>171</v>
      </c>
      <c r="CE47" t="s">
        <v>662</v>
      </c>
      <c r="CI47" t="str">
        <f t="shared" si="2"/>
        <v>0</v>
      </c>
      <c r="CL47" t="s">
        <v>131</v>
      </c>
      <c r="CN47" t="s">
        <v>132</v>
      </c>
      <c r="CO47" t="s">
        <v>118</v>
      </c>
    </row>
    <row r="48" spans="1:93" hidden="1" x14ac:dyDescent="0.3">
      <c r="A48">
        <v>2169626</v>
      </c>
      <c r="B48">
        <v>55931</v>
      </c>
      <c r="C48" t="str">
        <f>"821023450874"</f>
        <v>821023450874</v>
      </c>
      <c r="D48" t="s">
        <v>663</v>
      </c>
      <c r="E48" t="s">
        <v>203</v>
      </c>
      <c r="F48" t="s">
        <v>664</v>
      </c>
      <c r="G48" s="1">
        <v>30247</v>
      </c>
      <c r="I48" t="s">
        <v>106</v>
      </c>
      <c r="J48" t="s">
        <v>107</v>
      </c>
      <c r="K48" t="s">
        <v>665</v>
      </c>
      <c r="P48" t="s">
        <v>109</v>
      </c>
      <c r="Q48" t="s">
        <v>136</v>
      </c>
      <c r="W48" t="str">
        <f>"2021-04-06T00:00:00"</f>
        <v>2021-04-06T00:00:00</v>
      </c>
      <c r="X48" t="str">
        <f>"60"</f>
        <v>60</v>
      </c>
      <c r="Z48" t="s">
        <v>528</v>
      </c>
      <c r="AA48" t="s">
        <v>111</v>
      </c>
      <c r="AE48" t="s">
        <v>138</v>
      </c>
      <c r="AF48" t="s">
        <v>207</v>
      </c>
      <c r="AG48">
        <v>1.2</v>
      </c>
      <c r="AH48" t="s">
        <v>114</v>
      </c>
      <c r="AI48" t="s">
        <v>115</v>
      </c>
      <c r="AJ48" t="s">
        <v>116</v>
      </c>
      <c r="AN48" t="s">
        <v>117</v>
      </c>
      <c r="AO48" t="s">
        <v>118</v>
      </c>
      <c r="AP48" t="str">
        <f>"9"</f>
        <v>9</v>
      </c>
      <c r="AQ48" t="str">
        <f>"11"</f>
        <v>11</v>
      </c>
      <c r="AR48" t="str">
        <f>"7"</f>
        <v>7</v>
      </c>
      <c r="AS48" t="str">
        <f>"7"</f>
        <v>7</v>
      </c>
      <c r="AT48" t="str">
        <f>"2"</f>
        <v>2</v>
      </c>
      <c r="AU48" t="str">
        <f>"akm_tkachenko@mail.kz"</f>
        <v>akm_tkachenko@mail.kz</v>
      </c>
      <c r="AV48" t="str">
        <f>"87770386286"</f>
        <v>87770386286</v>
      </c>
      <c r="AW48" t="s">
        <v>119</v>
      </c>
      <c r="AZ48" t="s">
        <v>211</v>
      </c>
      <c r="BD48" t="s">
        <v>212</v>
      </c>
      <c r="BE48" t="s">
        <v>122</v>
      </c>
      <c r="BF48">
        <v>1.2</v>
      </c>
      <c r="BG48" t="str">
        <f>"[19]"</f>
        <v>[19]</v>
      </c>
      <c r="BH48" t="s">
        <v>118</v>
      </c>
      <c r="BI48">
        <v>0</v>
      </c>
      <c r="BN48" t="s">
        <v>161</v>
      </c>
      <c r="BR48" t="s">
        <v>131</v>
      </c>
      <c r="BU48" t="s">
        <v>666</v>
      </c>
      <c r="BV48" t="s">
        <v>212</v>
      </c>
      <c r="BW48" t="s">
        <v>667</v>
      </c>
      <c r="BX48" t="s">
        <v>125</v>
      </c>
      <c r="BY48" t="s">
        <v>570</v>
      </c>
      <c r="BZ48">
        <v>120</v>
      </c>
      <c r="CA48" t="s">
        <v>668</v>
      </c>
      <c r="CB48" t="s">
        <v>669</v>
      </c>
      <c r="CC48" t="s">
        <v>670</v>
      </c>
      <c r="CD48" t="s">
        <v>171</v>
      </c>
      <c r="CE48" t="s">
        <v>338</v>
      </c>
      <c r="CF48" s="2">
        <v>45383</v>
      </c>
      <c r="CI48" t="str">
        <f t="shared" si="2"/>
        <v>0</v>
      </c>
      <c r="CJ48" t="s">
        <v>136</v>
      </c>
      <c r="CL48" t="s">
        <v>131</v>
      </c>
      <c r="CN48" t="s">
        <v>132</v>
      </c>
      <c r="CO48" t="s">
        <v>185</v>
      </c>
    </row>
    <row r="49" spans="1:93" hidden="1" x14ac:dyDescent="0.3">
      <c r="A49">
        <v>2259372</v>
      </c>
      <c r="B49">
        <v>72318</v>
      </c>
      <c r="C49" t="str">
        <f>"961202450687"</f>
        <v>961202450687</v>
      </c>
      <c r="D49" t="s">
        <v>671</v>
      </c>
      <c r="E49" t="s">
        <v>672</v>
      </c>
      <c r="F49" t="s">
        <v>673</v>
      </c>
      <c r="G49" s="1">
        <v>35401</v>
      </c>
      <c r="I49" t="s">
        <v>106</v>
      </c>
      <c r="J49" t="s">
        <v>107</v>
      </c>
      <c r="K49" t="s">
        <v>108</v>
      </c>
      <c r="P49" t="s">
        <v>109</v>
      </c>
      <c r="Q49" t="s">
        <v>136</v>
      </c>
      <c r="W49" t="str">
        <f>"2021-08-26T00:00:00"</f>
        <v>2021-08-26T00:00:00</v>
      </c>
      <c r="X49" t="str">
        <f>"135"</f>
        <v>135</v>
      </c>
      <c r="Z49" t="s">
        <v>528</v>
      </c>
      <c r="AA49" t="s">
        <v>111</v>
      </c>
      <c r="AE49" t="s">
        <v>138</v>
      </c>
      <c r="AF49" t="s">
        <v>207</v>
      </c>
      <c r="AG49">
        <v>1.4</v>
      </c>
      <c r="AH49" t="s">
        <v>114</v>
      </c>
      <c r="AI49" t="s">
        <v>115</v>
      </c>
      <c r="AJ49" t="s">
        <v>116</v>
      </c>
      <c r="AN49" t="s">
        <v>117</v>
      </c>
      <c r="AO49" t="s">
        <v>118</v>
      </c>
      <c r="AP49" t="str">
        <f>"2"</f>
        <v>2</v>
      </c>
      <c r="AQ49" t="str">
        <f>"4"</f>
        <v>4</v>
      </c>
      <c r="AR49" t="str">
        <f>"4"</f>
        <v>4</v>
      </c>
      <c r="AS49" t="str">
        <f>"4"</f>
        <v>4</v>
      </c>
      <c r="AT49" t="str">
        <f>"2"</f>
        <v>2</v>
      </c>
      <c r="AU49" t="str">
        <f>"kakenova_sabina01@mail.ru"</f>
        <v>kakenova_sabina01@mail.ru</v>
      </c>
      <c r="AV49" t="str">
        <f>"87471686211"</f>
        <v>87471686211</v>
      </c>
      <c r="AW49" t="s">
        <v>159</v>
      </c>
      <c r="AX49" t="s">
        <v>232</v>
      </c>
      <c r="AZ49" t="s">
        <v>189</v>
      </c>
      <c r="BD49" t="s">
        <v>212</v>
      </c>
      <c r="BE49" t="s">
        <v>122</v>
      </c>
      <c r="BF49">
        <v>1.4</v>
      </c>
      <c r="BG49" t="str">
        <f>"[23]"</f>
        <v>[23]</v>
      </c>
      <c r="BH49" t="s">
        <v>118</v>
      </c>
      <c r="BI49">
        <v>0</v>
      </c>
      <c r="BN49" t="s">
        <v>161</v>
      </c>
      <c r="BR49" t="s">
        <v>131</v>
      </c>
      <c r="BU49" t="s">
        <v>143</v>
      </c>
      <c r="BV49" t="s">
        <v>674</v>
      </c>
      <c r="BW49" t="s">
        <v>675</v>
      </c>
      <c r="BX49" t="s">
        <v>146</v>
      </c>
      <c r="BY49" t="s">
        <v>147</v>
      </c>
      <c r="BZ49" t="s">
        <v>676</v>
      </c>
      <c r="CA49" t="s">
        <v>677</v>
      </c>
      <c r="CB49" t="s">
        <v>678</v>
      </c>
      <c r="CC49" t="s">
        <v>679</v>
      </c>
      <c r="CD49" t="s">
        <v>171</v>
      </c>
      <c r="CE49" t="s">
        <v>338</v>
      </c>
      <c r="CF49" s="2">
        <v>45383</v>
      </c>
      <c r="CI49" t="str">
        <f t="shared" si="2"/>
        <v>0</v>
      </c>
      <c r="CL49" t="s">
        <v>131</v>
      </c>
      <c r="CN49" t="s">
        <v>132</v>
      </c>
      <c r="CO49" t="s">
        <v>118</v>
      </c>
    </row>
    <row r="50" spans="1:93" hidden="1" x14ac:dyDescent="0.3">
      <c r="A50">
        <v>2259464</v>
      </c>
      <c r="B50">
        <v>73464</v>
      </c>
      <c r="C50" t="str">
        <f>"701216350042"</f>
        <v>701216350042</v>
      </c>
      <c r="D50" t="s">
        <v>680</v>
      </c>
      <c r="E50" t="s">
        <v>628</v>
      </c>
      <c r="F50" t="s">
        <v>681</v>
      </c>
      <c r="G50" s="1">
        <v>25918</v>
      </c>
      <c r="I50" t="s">
        <v>548</v>
      </c>
      <c r="J50" t="s">
        <v>107</v>
      </c>
      <c r="K50" t="s">
        <v>108</v>
      </c>
      <c r="P50" t="s">
        <v>549</v>
      </c>
      <c r="Q50" t="s">
        <v>136</v>
      </c>
      <c r="W50" t="str">
        <f>"2021-08-26T00:00:00"</f>
        <v>2021-08-26T00:00:00</v>
      </c>
      <c r="X50" t="str">
        <f>"136"</f>
        <v>136</v>
      </c>
      <c r="Z50" t="s">
        <v>137</v>
      </c>
      <c r="AA50" t="s">
        <v>111</v>
      </c>
      <c r="AE50" t="s">
        <v>138</v>
      </c>
      <c r="AF50" t="s">
        <v>113</v>
      </c>
      <c r="AG50">
        <v>1</v>
      </c>
      <c r="AH50" t="s">
        <v>114</v>
      </c>
      <c r="AI50" t="s">
        <v>115</v>
      </c>
      <c r="AJ50" t="s">
        <v>116</v>
      </c>
      <c r="AN50" t="s">
        <v>117</v>
      </c>
      <c r="AO50" t="s">
        <v>118</v>
      </c>
      <c r="AP50" t="str">
        <f>"25"</f>
        <v>25</v>
      </c>
      <c r="AQ50" t="str">
        <f>"27"</f>
        <v>27</v>
      </c>
      <c r="AR50" t="str">
        <f>"27"</f>
        <v>27</v>
      </c>
      <c r="AS50" t="str">
        <f>"27"</f>
        <v>27</v>
      </c>
      <c r="AT50" t="str">
        <f>"2"</f>
        <v>2</v>
      </c>
      <c r="AU50" t="str">
        <f>"battalov-k70@mail.ru"</f>
        <v>battalov-k70@mail.ru</v>
      </c>
      <c r="AV50" t="str">
        <f>"87056367764"</f>
        <v>87056367764</v>
      </c>
      <c r="AW50" t="s">
        <v>159</v>
      </c>
      <c r="AX50" t="s">
        <v>140</v>
      </c>
      <c r="AZ50" t="s">
        <v>120</v>
      </c>
      <c r="BD50" t="s">
        <v>355</v>
      </c>
      <c r="BE50" t="s">
        <v>122</v>
      </c>
      <c r="BF50">
        <v>1</v>
      </c>
      <c r="BG50" t="str">
        <f>"[16]"</f>
        <v>[16]</v>
      </c>
      <c r="BH50" t="s">
        <v>113</v>
      </c>
      <c r="BI50">
        <v>0.5</v>
      </c>
      <c r="BJ50" t="s">
        <v>630</v>
      </c>
      <c r="BK50" t="s">
        <v>209</v>
      </c>
      <c r="BL50" t="s">
        <v>343</v>
      </c>
      <c r="BM50">
        <v>0.5</v>
      </c>
      <c r="BN50" t="s">
        <v>161</v>
      </c>
      <c r="BR50" t="s">
        <v>131</v>
      </c>
      <c r="BU50" t="s">
        <v>682</v>
      </c>
      <c r="BV50" t="s">
        <v>683</v>
      </c>
      <c r="BW50" t="s">
        <v>684</v>
      </c>
      <c r="BX50" t="s">
        <v>685</v>
      </c>
      <c r="BY50" t="s">
        <v>686</v>
      </c>
      <c r="BZ50" t="s">
        <v>687</v>
      </c>
      <c r="CA50" t="s">
        <v>688</v>
      </c>
      <c r="CB50" t="s">
        <v>689</v>
      </c>
      <c r="CC50" t="s">
        <v>690</v>
      </c>
      <c r="CD50" t="s">
        <v>355</v>
      </c>
      <c r="CE50" t="s">
        <v>691</v>
      </c>
      <c r="CF50" t="s">
        <v>153</v>
      </c>
      <c r="CI50" t="str">
        <f t="shared" si="2"/>
        <v>0</v>
      </c>
      <c r="CJ50" t="s">
        <v>136</v>
      </c>
      <c r="CL50" t="s">
        <v>136</v>
      </c>
      <c r="CN50" t="s">
        <v>132</v>
      </c>
      <c r="CO50" t="s">
        <v>118</v>
      </c>
    </row>
    <row r="51" spans="1:93" hidden="1" x14ac:dyDescent="0.3">
      <c r="A51">
        <v>2259541</v>
      </c>
      <c r="B51">
        <v>1549043</v>
      </c>
      <c r="C51" t="str">
        <f>"920204450320"</f>
        <v>920204450320</v>
      </c>
      <c r="D51" t="s">
        <v>692</v>
      </c>
      <c r="E51" t="s">
        <v>693</v>
      </c>
      <c r="F51" t="s">
        <v>272</v>
      </c>
      <c r="G51" s="1">
        <v>33638</v>
      </c>
      <c r="I51" t="s">
        <v>106</v>
      </c>
      <c r="J51" t="s">
        <v>107</v>
      </c>
      <c r="K51" t="s">
        <v>205</v>
      </c>
      <c r="P51" t="s">
        <v>109</v>
      </c>
      <c r="Q51" t="s">
        <v>136</v>
      </c>
      <c r="W51" t="str">
        <f>"2021-08-26T00:00:00"</f>
        <v>2021-08-26T00:00:00</v>
      </c>
      <c r="X51" t="str">
        <f>"137"</f>
        <v>137</v>
      </c>
      <c r="Z51" t="s">
        <v>206</v>
      </c>
      <c r="AA51" t="s">
        <v>111</v>
      </c>
      <c r="AE51" t="s">
        <v>138</v>
      </c>
      <c r="AF51" t="s">
        <v>654</v>
      </c>
      <c r="AG51">
        <v>1.1000000000000001</v>
      </c>
      <c r="AH51" t="s">
        <v>114</v>
      </c>
      <c r="AI51" t="s">
        <v>115</v>
      </c>
      <c r="AJ51" t="s">
        <v>208</v>
      </c>
      <c r="AN51" t="s">
        <v>117</v>
      </c>
      <c r="AO51" t="s">
        <v>118</v>
      </c>
      <c r="AP51" t="str">
        <f>"4"</f>
        <v>4</v>
      </c>
      <c r="AQ51" t="str">
        <f>"6"</f>
        <v>6</v>
      </c>
      <c r="AR51" t="str">
        <f>"2"</f>
        <v>2</v>
      </c>
      <c r="AS51" t="str">
        <f>"2"</f>
        <v>2</v>
      </c>
      <c r="AT51" t="str">
        <f>"2"</f>
        <v>2</v>
      </c>
      <c r="AU51" t="str">
        <f>"mari_04@list.ru"</f>
        <v>mari_04@list.ru</v>
      </c>
      <c r="AV51" t="str">
        <f>"87012417065"</f>
        <v>87012417065</v>
      </c>
      <c r="AW51" t="s">
        <v>119</v>
      </c>
      <c r="AZ51" t="s">
        <v>211</v>
      </c>
      <c r="BH51" t="s">
        <v>207</v>
      </c>
      <c r="BI51">
        <v>0.5</v>
      </c>
      <c r="BJ51" t="s">
        <v>119</v>
      </c>
      <c r="BL51" t="s">
        <v>212</v>
      </c>
      <c r="BM51">
        <v>0.5</v>
      </c>
      <c r="BN51" t="s">
        <v>161</v>
      </c>
      <c r="BR51" t="s">
        <v>131</v>
      </c>
      <c r="BU51" t="s">
        <v>588</v>
      </c>
      <c r="CD51" t="s">
        <v>171</v>
      </c>
      <c r="CE51" t="s">
        <v>694</v>
      </c>
      <c r="CF51" s="2">
        <v>45383</v>
      </c>
      <c r="CI51" t="str">
        <f t="shared" si="2"/>
        <v>0</v>
      </c>
      <c r="CL51" t="s">
        <v>131</v>
      </c>
      <c r="CN51" t="s">
        <v>132</v>
      </c>
      <c r="CO51" t="s">
        <v>118</v>
      </c>
    </row>
    <row r="52" spans="1:93" x14ac:dyDescent="0.3">
      <c r="A52">
        <v>2406140</v>
      </c>
      <c r="B52">
        <v>1615521</v>
      </c>
      <c r="C52" t="str">
        <f>"870930050152"</f>
        <v>870930050152</v>
      </c>
      <c r="D52" t="s">
        <v>695</v>
      </c>
      <c r="E52" t="s">
        <v>696</v>
      </c>
      <c r="F52" t="s">
        <v>697</v>
      </c>
      <c r="G52" s="1">
        <v>32050</v>
      </c>
      <c r="I52" t="s">
        <v>106</v>
      </c>
      <c r="J52" t="s">
        <v>698</v>
      </c>
      <c r="K52" t="s">
        <v>699</v>
      </c>
      <c r="P52" t="s">
        <v>109</v>
      </c>
      <c r="Q52" t="s">
        <v>136</v>
      </c>
      <c r="W52" t="str">
        <f>"2022-02-07T00:00:00"</f>
        <v>2022-02-07T00:00:00</v>
      </c>
      <c r="X52" t="str">
        <f>"8"</f>
        <v>8</v>
      </c>
      <c r="Z52" t="s">
        <v>540</v>
      </c>
      <c r="AA52" t="s">
        <v>111</v>
      </c>
      <c r="AE52" t="s">
        <v>138</v>
      </c>
      <c r="AF52" t="s">
        <v>484</v>
      </c>
      <c r="AG52">
        <v>1.5</v>
      </c>
      <c r="AH52" t="s">
        <v>114</v>
      </c>
      <c r="AI52" t="s">
        <v>115</v>
      </c>
      <c r="AJ52" t="s">
        <v>490</v>
      </c>
      <c r="AN52" t="s">
        <v>486</v>
      </c>
      <c r="AP52" t="str">
        <f>"6"</f>
        <v>6</v>
      </c>
      <c r="AQ52" t="str">
        <f>"8"</f>
        <v>8</v>
      </c>
      <c r="AS52" t="str">
        <f>"0"</f>
        <v>0</v>
      </c>
      <c r="AT52" t="str">
        <f>"2"</f>
        <v>2</v>
      </c>
      <c r="BH52" t="s">
        <v>118</v>
      </c>
      <c r="BI52">
        <v>0</v>
      </c>
    </row>
    <row r="53" spans="1:93" hidden="1" x14ac:dyDescent="0.3">
      <c r="A53">
        <v>2409871</v>
      </c>
      <c r="B53">
        <v>1617334</v>
      </c>
      <c r="C53" t="str">
        <f>"940213401404"</f>
        <v>940213401404</v>
      </c>
      <c r="D53" t="s">
        <v>700</v>
      </c>
      <c r="E53" t="s">
        <v>701</v>
      </c>
      <c r="F53" t="s">
        <v>702</v>
      </c>
      <c r="G53" s="1">
        <v>34378</v>
      </c>
      <c r="I53" t="s">
        <v>106</v>
      </c>
      <c r="J53" t="s">
        <v>107</v>
      </c>
      <c r="K53" t="s">
        <v>108</v>
      </c>
      <c r="P53" t="s">
        <v>109</v>
      </c>
      <c r="Q53" t="s">
        <v>136</v>
      </c>
      <c r="W53" t="str">
        <f>"2022-08-31T00:00:00"</f>
        <v>2022-08-31T00:00:00</v>
      </c>
      <c r="X53" t="str">
        <f>"134"</f>
        <v>134</v>
      </c>
      <c r="Z53" t="s">
        <v>540</v>
      </c>
      <c r="AA53" t="s">
        <v>111</v>
      </c>
      <c r="AE53" t="s">
        <v>138</v>
      </c>
      <c r="AF53" t="s">
        <v>113</v>
      </c>
      <c r="AG53">
        <v>1.5</v>
      </c>
      <c r="AH53" t="s">
        <v>114</v>
      </c>
      <c r="AI53" t="s">
        <v>115</v>
      </c>
      <c r="AJ53" t="s">
        <v>208</v>
      </c>
      <c r="AK53" t="s">
        <v>136</v>
      </c>
      <c r="AN53" t="s">
        <v>117</v>
      </c>
      <c r="AO53" t="s">
        <v>118</v>
      </c>
      <c r="AP53" t="str">
        <f>"1"</f>
        <v>1</v>
      </c>
      <c r="AQ53" t="str">
        <f>"2"</f>
        <v>2</v>
      </c>
      <c r="AR53" t="str">
        <f t="shared" ref="AR53:AT55" si="3">"1"</f>
        <v>1</v>
      </c>
      <c r="AS53" t="str">
        <f t="shared" si="3"/>
        <v>1</v>
      </c>
      <c r="AT53" t="str">
        <f t="shared" si="3"/>
        <v>1</v>
      </c>
      <c r="AU53" t="str">
        <f>"Nurbaeva1302@list.ru"</f>
        <v>Nurbaeva1302@list.ru</v>
      </c>
      <c r="AV53" t="str">
        <f>"87057837005"</f>
        <v>87057837005</v>
      </c>
      <c r="AW53" t="s">
        <v>119</v>
      </c>
      <c r="AZ53" t="s">
        <v>189</v>
      </c>
      <c r="BD53" t="s">
        <v>434</v>
      </c>
      <c r="BE53" t="s">
        <v>213</v>
      </c>
      <c r="BF53">
        <v>1.5</v>
      </c>
      <c r="BG53" t="str">
        <f>"[24]"</f>
        <v>[24]</v>
      </c>
      <c r="BH53" t="s">
        <v>118</v>
      </c>
      <c r="BI53">
        <v>0</v>
      </c>
      <c r="BN53" t="s">
        <v>161</v>
      </c>
      <c r="BR53" t="s">
        <v>131</v>
      </c>
      <c r="BU53" t="s">
        <v>588</v>
      </c>
      <c r="CD53" t="s">
        <v>171</v>
      </c>
      <c r="CE53" t="s">
        <v>703</v>
      </c>
      <c r="CF53" t="s">
        <v>153</v>
      </c>
      <c r="CI53" t="str">
        <f t="shared" ref="CI53:CI59" si="4">"0"</f>
        <v>0</v>
      </c>
      <c r="CL53" t="s">
        <v>131</v>
      </c>
      <c r="CN53" t="s">
        <v>132</v>
      </c>
      <c r="CO53" t="s">
        <v>185</v>
      </c>
    </row>
    <row r="54" spans="1:93" hidden="1" x14ac:dyDescent="0.3">
      <c r="A54">
        <v>2549896</v>
      </c>
      <c r="B54">
        <v>1671660</v>
      </c>
      <c r="C54" t="str">
        <f>"030101651503"</f>
        <v>030101651503</v>
      </c>
      <c r="D54" t="s">
        <v>704</v>
      </c>
      <c r="E54" t="s">
        <v>705</v>
      </c>
      <c r="F54" t="s">
        <v>706</v>
      </c>
      <c r="G54" s="1">
        <v>37622</v>
      </c>
      <c r="I54" t="s">
        <v>106</v>
      </c>
      <c r="J54" t="s">
        <v>107</v>
      </c>
      <c r="K54" t="s">
        <v>108</v>
      </c>
      <c r="P54" t="s">
        <v>109</v>
      </c>
      <c r="Q54" t="s">
        <v>136</v>
      </c>
      <c r="W54" t="str">
        <f>"2022-08-16T00:00:00"</f>
        <v>2022-08-16T00:00:00</v>
      </c>
      <c r="X54" t="str">
        <f>"114"</f>
        <v>114</v>
      </c>
      <c r="Z54" t="s">
        <v>206</v>
      </c>
      <c r="AA54" t="s">
        <v>111</v>
      </c>
      <c r="AE54" t="s">
        <v>138</v>
      </c>
      <c r="AF54" t="s">
        <v>113</v>
      </c>
      <c r="AG54">
        <v>1.4</v>
      </c>
      <c r="AH54" t="s">
        <v>114</v>
      </c>
      <c r="AI54" t="s">
        <v>115</v>
      </c>
      <c r="AJ54" t="s">
        <v>208</v>
      </c>
      <c r="AN54" t="s">
        <v>117</v>
      </c>
      <c r="AO54" t="s">
        <v>118</v>
      </c>
      <c r="AP54" t="str">
        <f>"0"</f>
        <v>0</v>
      </c>
      <c r="AQ54" t="str">
        <f>"1"</f>
        <v>1</v>
      </c>
      <c r="AR54" t="str">
        <f t="shared" si="3"/>
        <v>1</v>
      </c>
      <c r="AS54" t="str">
        <f t="shared" si="3"/>
        <v>1</v>
      </c>
      <c r="AT54" t="str">
        <f t="shared" si="3"/>
        <v>1</v>
      </c>
      <c r="AU54" t="str">
        <f>"bessembaeva2003@gmail.com"</f>
        <v>bessembaeva2003@gmail.com</v>
      </c>
      <c r="AV54" t="str">
        <f>"87779027515"</f>
        <v>87779027515</v>
      </c>
      <c r="AW54" t="s">
        <v>119</v>
      </c>
      <c r="AZ54" t="s">
        <v>211</v>
      </c>
      <c r="BD54" t="s">
        <v>190</v>
      </c>
      <c r="BE54" t="s">
        <v>213</v>
      </c>
      <c r="BF54">
        <v>1.4</v>
      </c>
      <c r="BG54" t="str">
        <f>"[23]"</f>
        <v>[23]</v>
      </c>
      <c r="BH54" t="s">
        <v>118</v>
      </c>
      <c r="BI54">
        <v>0</v>
      </c>
      <c r="BN54" t="s">
        <v>161</v>
      </c>
      <c r="BR54" t="s">
        <v>131</v>
      </c>
      <c r="BU54" t="s">
        <v>707</v>
      </c>
      <c r="BV54" t="s">
        <v>190</v>
      </c>
      <c r="BW54" t="s">
        <v>708</v>
      </c>
      <c r="BX54" t="s">
        <v>125</v>
      </c>
      <c r="BY54" t="s">
        <v>570</v>
      </c>
      <c r="BZ54">
        <v>72</v>
      </c>
      <c r="CA54" t="s">
        <v>709</v>
      </c>
      <c r="CB54" t="s">
        <v>710</v>
      </c>
      <c r="CC54">
        <v>94538</v>
      </c>
      <c r="CD54" t="s">
        <v>171</v>
      </c>
      <c r="CE54" t="s">
        <v>711</v>
      </c>
      <c r="CF54" t="s">
        <v>153</v>
      </c>
      <c r="CI54" t="str">
        <f t="shared" si="4"/>
        <v>0</v>
      </c>
      <c r="CL54" t="s">
        <v>131</v>
      </c>
      <c r="CN54" t="s">
        <v>201</v>
      </c>
      <c r="CO54" t="s">
        <v>118</v>
      </c>
    </row>
    <row r="55" spans="1:93" hidden="1" x14ac:dyDescent="0.3">
      <c r="A55">
        <v>2549917</v>
      </c>
      <c r="B55">
        <v>1671666</v>
      </c>
      <c r="C55" t="str">
        <f>"000621651585"</f>
        <v>000621651585</v>
      </c>
      <c r="D55" t="s">
        <v>712</v>
      </c>
      <c r="E55" t="s">
        <v>713</v>
      </c>
      <c r="F55" t="s">
        <v>714</v>
      </c>
      <c r="G55" s="1">
        <v>36698</v>
      </c>
      <c r="I55" t="s">
        <v>106</v>
      </c>
      <c r="J55" t="s">
        <v>107</v>
      </c>
      <c r="K55" t="s">
        <v>108</v>
      </c>
      <c r="P55" t="s">
        <v>109</v>
      </c>
      <c r="Q55" t="s">
        <v>136</v>
      </c>
      <c r="W55" t="str">
        <f>"2022-08-26T00:00:00"</f>
        <v>2022-08-26T00:00:00</v>
      </c>
      <c r="X55" t="str">
        <f>"130"</f>
        <v>130</v>
      </c>
      <c r="Z55" t="s">
        <v>175</v>
      </c>
      <c r="AA55" t="s">
        <v>111</v>
      </c>
      <c r="AE55" t="s">
        <v>138</v>
      </c>
      <c r="AF55" t="s">
        <v>113</v>
      </c>
      <c r="AG55">
        <v>1.5</v>
      </c>
      <c r="AH55" t="s">
        <v>114</v>
      </c>
      <c r="AI55" t="s">
        <v>115</v>
      </c>
      <c r="AJ55" t="s">
        <v>116</v>
      </c>
      <c r="AN55" t="s">
        <v>117</v>
      </c>
      <c r="AO55" t="s">
        <v>118</v>
      </c>
      <c r="AP55" t="str">
        <f>"0"</f>
        <v>0</v>
      </c>
      <c r="AQ55" t="str">
        <f>"1"</f>
        <v>1</v>
      </c>
      <c r="AR55" t="str">
        <f t="shared" si="3"/>
        <v>1</v>
      </c>
      <c r="AS55" t="str">
        <f t="shared" si="3"/>
        <v>1</v>
      </c>
      <c r="AT55" t="str">
        <f t="shared" si="3"/>
        <v>1</v>
      </c>
      <c r="AU55" t="str">
        <f>"dianaramazanovaaaa@mail.ru"</f>
        <v>dianaramazanovaaaa@mail.ru</v>
      </c>
      <c r="AV55" t="str">
        <f>"87750905639"</f>
        <v>87750905639</v>
      </c>
      <c r="AW55" t="s">
        <v>119</v>
      </c>
      <c r="AZ55" t="s">
        <v>211</v>
      </c>
      <c r="BD55" t="s">
        <v>553</v>
      </c>
      <c r="BE55" t="s">
        <v>122</v>
      </c>
      <c r="BF55">
        <v>1.5</v>
      </c>
      <c r="BG55" t="str">
        <f>"[23]"</f>
        <v>[23]</v>
      </c>
      <c r="BH55" t="s">
        <v>118</v>
      </c>
      <c r="BI55">
        <v>0</v>
      </c>
      <c r="BN55" t="s">
        <v>161</v>
      </c>
      <c r="BR55" t="s">
        <v>131</v>
      </c>
      <c r="BU55" t="s">
        <v>588</v>
      </c>
      <c r="CD55" t="s">
        <v>171</v>
      </c>
      <c r="CE55" t="s">
        <v>715</v>
      </c>
      <c r="CF55" t="s">
        <v>153</v>
      </c>
      <c r="CI55" t="str">
        <f t="shared" si="4"/>
        <v>0</v>
      </c>
      <c r="CL55" t="s">
        <v>131</v>
      </c>
      <c r="CN55" t="s">
        <v>132</v>
      </c>
      <c r="CO55" t="s">
        <v>118</v>
      </c>
    </row>
    <row r="56" spans="1:93" hidden="1" x14ac:dyDescent="0.3">
      <c r="A56">
        <v>2549982</v>
      </c>
      <c r="B56">
        <v>99917</v>
      </c>
      <c r="C56" t="str">
        <f>"970131450680"</f>
        <v>970131450680</v>
      </c>
      <c r="D56" t="s">
        <v>716</v>
      </c>
      <c r="E56" t="s">
        <v>717</v>
      </c>
      <c r="F56" t="s">
        <v>718</v>
      </c>
      <c r="G56" s="1">
        <v>35461</v>
      </c>
      <c r="I56" t="s">
        <v>106</v>
      </c>
      <c r="J56" t="s">
        <v>107</v>
      </c>
      <c r="K56" t="s">
        <v>108</v>
      </c>
      <c r="P56" t="s">
        <v>109</v>
      </c>
      <c r="Q56" t="s">
        <v>136</v>
      </c>
      <c r="W56" t="str">
        <f>"2023-04-20T00:00:00"</f>
        <v>2023-04-20T00:00:00</v>
      </c>
      <c r="X56" t="str">
        <f>"2"</f>
        <v>2</v>
      </c>
      <c r="Z56" t="s">
        <v>137</v>
      </c>
      <c r="AA56" t="s">
        <v>111</v>
      </c>
      <c r="AE56" t="s">
        <v>112</v>
      </c>
      <c r="AF56" t="s">
        <v>113</v>
      </c>
      <c r="AG56">
        <v>0</v>
      </c>
      <c r="AH56" t="s">
        <v>114</v>
      </c>
      <c r="AI56" t="s">
        <v>115</v>
      </c>
      <c r="AJ56" t="s">
        <v>116</v>
      </c>
      <c r="AN56" t="s">
        <v>117</v>
      </c>
      <c r="AO56" t="s">
        <v>118</v>
      </c>
      <c r="AP56" t="str">
        <f>"6"</f>
        <v>6</v>
      </c>
      <c r="AQ56" t="str">
        <f>"6"</f>
        <v>6</v>
      </c>
      <c r="AR56" t="str">
        <f>"6"</f>
        <v>6</v>
      </c>
      <c r="AS56" t="str">
        <f>"6"</f>
        <v>6</v>
      </c>
      <c r="AT56" t="str">
        <f>"0"</f>
        <v>0</v>
      </c>
      <c r="AU56" t="str">
        <f>"akkol4@mail.ru"</f>
        <v>akkol4@mail.ru</v>
      </c>
      <c r="AV56" t="str">
        <f>"87770353703"</f>
        <v>87770353703</v>
      </c>
      <c r="AW56" t="s">
        <v>119</v>
      </c>
      <c r="AZ56" t="s">
        <v>189</v>
      </c>
      <c r="BD56" t="s">
        <v>141</v>
      </c>
      <c r="BE56" t="s">
        <v>122</v>
      </c>
      <c r="BF56">
        <v>0</v>
      </c>
      <c r="BG56" t="str">
        <f>"[0]"</f>
        <v>[0]</v>
      </c>
      <c r="BH56" t="s">
        <v>118</v>
      </c>
      <c r="BI56">
        <v>0</v>
      </c>
      <c r="BU56" t="s">
        <v>123</v>
      </c>
      <c r="BV56" t="s">
        <v>141</v>
      </c>
      <c r="BW56" t="s">
        <v>719</v>
      </c>
      <c r="BX56" t="s">
        <v>125</v>
      </c>
      <c r="BY56" t="s">
        <v>126</v>
      </c>
      <c r="BZ56">
        <v>160</v>
      </c>
      <c r="CA56" t="s">
        <v>720</v>
      </c>
      <c r="CB56" t="s">
        <v>721</v>
      </c>
      <c r="CC56">
        <v>123</v>
      </c>
      <c r="CD56" t="s">
        <v>171</v>
      </c>
      <c r="CE56" t="s">
        <v>722</v>
      </c>
      <c r="CI56" t="str">
        <f t="shared" si="4"/>
        <v>0</v>
      </c>
      <c r="CL56" t="s">
        <v>136</v>
      </c>
      <c r="CN56" t="s">
        <v>132</v>
      </c>
      <c r="CO56" t="s">
        <v>118</v>
      </c>
    </row>
    <row r="57" spans="1:93" hidden="1" x14ac:dyDescent="0.3">
      <c r="A57">
        <v>2550030</v>
      </c>
      <c r="B57">
        <v>64202</v>
      </c>
      <c r="C57" t="str">
        <f>"811105451073"</f>
        <v>811105451073</v>
      </c>
      <c r="D57" t="s">
        <v>723</v>
      </c>
      <c r="E57" t="s">
        <v>724</v>
      </c>
      <c r="F57" t="s">
        <v>725</v>
      </c>
      <c r="G57" s="1">
        <v>29895</v>
      </c>
      <c r="I57" t="s">
        <v>106</v>
      </c>
      <c r="J57" t="s">
        <v>107</v>
      </c>
      <c r="K57" t="s">
        <v>108</v>
      </c>
      <c r="P57" t="s">
        <v>109</v>
      </c>
      <c r="Q57" t="s">
        <v>136</v>
      </c>
      <c r="W57" t="str">
        <f>"2022-08-31T00:00:00"</f>
        <v>2022-08-31T00:00:00</v>
      </c>
      <c r="X57" t="str">
        <f>"138"</f>
        <v>138</v>
      </c>
      <c r="Z57" t="s">
        <v>396</v>
      </c>
      <c r="AA57" t="s">
        <v>111</v>
      </c>
      <c r="AE57" t="s">
        <v>138</v>
      </c>
      <c r="AF57" t="s">
        <v>207</v>
      </c>
      <c r="AG57">
        <v>1.5</v>
      </c>
      <c r="AH57" t="s">
        <v>114</v>
      </c>
      <c r="AI57" t="s">
        <v>115</v>
      </c>
      <c r="AJ57" t="s">
        <v>116</v>
      </c>
      <c r="AN57" t="s">
        <v>117</v>
      </c>
      <c r="AO57" t="s">
        <v>118</v>
      </c>
      <c r="AP57" t="str">
        <f>"19"</f>
        <v>19</v>
      </c>
      <c r="AQ57" t="str">
        <f>"20"</f>
        <v>20</v>
      </c>
      <c r="AR57" t="str">
        <f>"20"</f>
        <v>20</v>
      </c>
      <c r="AS57" t="str">
        <f>"20"</f>
        <v>20</v>
      </c>
      <c r="AT57" t="str">
        <f>"1"</f>
        <v>1</v>
      </c>
      <c r="AU57" t="str">
        <f>"kurumbaeva81@bk.ru"</f>
        <v>kurumbaeva81@bk.ru</v>
      </c>
      <c r="AV57" t="str">
        <f>"87019645712"</f>
        <v>87019645712</v>
      </c>
      <c r="AW57" t="s">
        <v>139</v>
      </c>
      <c r="AX57" t="s">
        <v>209</v>
      </c>
      <c r="AY57" t="s">
        <v>210</v>
      </c>
      <c r="AZ57" t="s">
        <v>189</v>
      </c>
      <c r="BD57" t="s">
        <v>212</v>
      </c>
      <c r="BE57" t="s">
        <v>122</v>
      </c>
      <c r="BF57">
        <v>1.5</v>
      </c>
      <c r="BG57" t="str">
        <f>"[24]"</f>
        <v>[24]</v>
      </c>
      <c r="BH57" t="s">
        <v>118</v>
      </c>
      <c r="BI57">
        <v>0</v>
      </c>
      <c r="BN57" t="s">
        <v>161</v>
      </c>
      <c r="BR57" t="s">
        <v>131</v>
      </c>
      <c r="BU57" t="s">
        <v>726</v>
      </c>
      <c r="BV57" t="s">
        <v>727</v>
      </c>
      <c r="BW57" t="s">
        <v>728</v>
      </c>
      <c r="BX57" t="s">
        <v>729</v>
      </c>
      <c r="BY57" t="s">
        <v>476</v>
      </c>
      <c r="BZ57" t="s">
        <v>730</v>
      </c>
      <c r="CA57" t="s">
        <v>731</v>
      </c>
      <c r="CB57" t="s">
        <v>732</v>
      </c>
      <c r="CC57" t="s">
        <v>733</v>
      </c>
      <c r="CD57" t="s">
        <v>171</v>
      </c>
      <c r="CE57" t="s">
        <v>243</v>
      </c>
      <c r="CF57" s="2">
        <v>45383</v>
      </c>
      <c r="CI57" t="str">
        <f t="shared" si="4"/>
        <v>0</v>
      </c>
      <c r="CL57" t="s">
        <v>131</v>
      </c>
      <c r="CN57" t="s">
        <v>132</v>
      </c>
      <c r="CO57" t="s">
        <v>118</v>
      </c>
    </row>
    <row r="58" spans="1:93" hidden="1" x14ac:dyDescent="0.3">
      <c r="A58">
        <v>2550039</v>
      </c>
      <c r="B58">
        <v>1552240</v>
      </c>
      <c r="C58" t="str">
        <f>"000302650919"</f>
        <v>000302650919</v>
      </c>
      <c r="D58" t="s">
        <v>734</v>
      </c>
      <c r="E58" t="s">
        <v>735</v>
      </c>
      <c r="F58" t="s">
        <v>736</v>
      </c>
      <c r="G58" s="1">
        <v>36587</v>
      </c>
      <c r="I58" t="s">
        <v>106</v>
      </c>
      <c r="J58" t="s">
        <v>107</v>
      </c>
      <c r="K58" t="s">
        <v>108</v>
      </c>
      <c r="P58" t="s">
        <v>109</v>
      </c>
      <c r="Q58" t="s">
        <v>136</v>
      </c>
      <c r="W58" t="str">
        <f>"2023-09-01T00:00:00"</f>
        <v>2023-09-01T00:00:00</v>
      </c>
      <c r="X58" t="str">
        <f>"1"</f>
        <v>1</v>
      </c>
      <c r="Z58" t="s">
        <v>396</v>
      </c>
      <c r="AA58" t="s">
        <v>111</v>
      </c>
      <c r="AE58" t="s">
        <v>112</v>
      </c>
      <c r="AF58" t="s">
        <v>113</v>
      </c>
      <c r="AG58">
        <v>0</v>
      </c>
      <c r="AH58" t="s">
        <v>114</v>
      </c>
      <c r="AI58" t="s">
        <v>115</v>
      </c>
      <c r="AJ58" t="s">
        <v>116</v>
      </c>
      <c r="AN58" t="s">
        <v>117</v>
      </c>
      <c r="AO58" t="s">
        <v>118</v>
      </c>
      <c r="AP58" t="str">
        <f>"1"</f>
        <v>1</v>
      </c>
      <c r="AQ58" t="str">
        <f>"1"</f>
        <v>1</v>
      </c>
      <c r="AR58" t="str">
        <f>"1"</f>
        <v>1</v>
      </c>
      <c r="AS58" t="str">
        <f>"1"</f>
        <v>1</v>
      </c>
      <c r="AT58" t="str">
        <f>"0"</f>
        <v>0</v>
      </c>
      <c r="AU58" t="str">
        <f>"bakyt_ayaulym@bk.ru"</f>
        <v>bakyt_ayaulym@bk.ru</v>
      </c>
      <c r="AV58" t="str">
        <f>"87761598846"</f>
        <v>87761598846</v>
      </c>
      <c r="AW58" t="s">
        <v>119</v>
      </c>
      <c r="AZ58" t="s">
        <v>177</v>
      </c>
      <c r="BD58" t="s">
        <v>288</v>
      </c>
      <c r="BE58" t="s">
        <v>122</v>
      </c>
      <c r="BF58">
        <v>0</v>
      </c>
      <c r="BG58" t="str">
        <f>"[0]"</f>
        <v>[0]</v>
      </c>
      <c r="BH58" t="s">
        <v>118</v>
      </c>
      <c r="BI58">
        <v>0</v>
      </c>
      <c r="BU58" t="s">
        <v>588</v>
      </c>
      <c r="CD58" t="s">
        <v>171</v>
      </c>
      <c r="CE58" t="s">
        <v>737</v>
      </c>
      <c r="CI58" t="str">
        <f t="shared" si="4"/>
        <v>0</v>
      </c>
      <c r="CL58" t="s">
        <v>136</v>
      </c>
      <c r="CN58" t="s">
        <v>132</v>
      </c>
      <c r="CO58" t="s">
        <v>118</v>
      </c>
    </row>
    <row r="59" spans="1:93" hidden="1" x14ac:dyDescent="0.3">
      <c r="A59">
        <v>2553357</v>
      </c>
      <c r="B59">
        <v>56706</v>
      </c>
      <c r="C59" t="str">
        <f>"840430450263"</f>
        <v>840430450263</v>
      </c>
      <c r="D59" t="s">
        <v>738</v>
      </c>
      <c r="E59" t="s">
        <v>739</v>
      </c>
      <c r="F59" t="s">
        <v>740</v>
      </c>
      <c r="G59" s="1">
        <v>30802</v>
      </c>
      <c r="I59" t="s">
        <v>106</v>
      </c>
      <c r="J59" t="s">
        <v>107</v>
      </c>
      <c r="K59" t="s">
        <v>108</v>
      </c>
      <c r="P59" t="s">
        <v>109</v>
      </c>
      <c r="Q59" t="s">
        <v>136</v>
      </c>
      <c r="W59" t="str">
        <f>"2021-10-12T00:00:00"</f>
        <v>2021-10-12T00:00:00</v>
      </c>
      <c r="X59" t="str">
        <f>"172"</f>
        <v>172</v>
      </c>
      <c r="Z59" t="s">
        <v>396</v>
      </c>
      <c r="AA59" t="s">
        <v>111</v>
      </c>
      <c r="AE59" t="s">
        <v>138</v>
      </c>
      <c r="AF59" t="s">
        <v>113</v>
      </c>
      <c r="AG59">
        <v>1.5</v>
      </c>
      <c r="AH59" t="s">
        <v>114</v>
      </c>
      <c r="AI59" t="s">
        <v>115</v>
      </c>
      <c r="AJ59" t="s">
        <v>116</v>
      </c>
      <c r="AN59" t="s">
        <v>117</v>
      </c>
      <c r="AO59" t="s">
        <v>118</v>
      </c>
      <c r="AP59" t="str">
        <f>"16"</f>
        <v>16</v>
      </c>
      <c r="AQ59" t="str">
        <f>"18"</f>
        <v>18</v>
      </c>
      <c r="AR59" t="str">
        <f>"17"</f>
        <v>17</v>
      </c>
      <c r="AS59" t="str">
        <f>"17"</f>
        <v>17</v>
      </c>
      <c r="AT59" t="str">
        <f>"2"</f>
        <v>2</v>
      </c>
      <c r="AU59" t="str">
        <f>"izobilnoie63@mail.ru"</f>
        <v>izobilnoie63@mail.ru</v>
      </c>
      <c r="AV59" t="str">
        <f>"87773130790"</f>
        <v>87773130790</v>
      </c>
      <c r="AW59" t="s">
        <v>741</v>
      </c>
      <c r="AX59" t="s">
        <v>742</v>
      </c>
      <c r="AZ59" t="s">
        <v>189</v>
      </c>
      <c r="BD59" t="s">
        <v>355</v>
      </c>
      <c r="BE59" t="s">
        <v>122</v>
      </c>
      <c r="BF59">
        <v>1.5</v>
      </c>
      <c r="BG59" t="str">
        <f>"[24]"</f>
        <v>[24]</v>
      </c>
      <c r="BH59" t="s">
        <v>118</v>
      </c>
      <c r="BI59">
        <v>0</v>
      </c>
      <c r="BN59" t="s">
        <v>161</v>
      </c>
      <c r="BR59" t="s">
        <v>131</v>
      </c>
      <c r="BU59" t="s">
        <v>178</v>
      </c>
      <c r="BV59" t="s">
        <v>743</v>
      </c>
      <c r="BW59" t="s">
        <v>744</v>
      </c>
      <c r="BX59" t="s">
        <v>146</v>
      </c>
      <c r="BY59" t="s">
        <v>147</v>
      </c>
      <c r="BZ59" t="s">
        <v>181</v>
      </c>
      <c r="CA59" t="s">
        <v>745</v>
      </c>
      <c r="CB59" t="s">
        <v>746</v>
      </c>
      <c r="CC59" t="s">
        <v>747</v>
      </c>
      <c r="CD59" t="s">
        <v>171</v>
      </c>
      <c r="CE59" t="s">
        <v>748</v>
      </c>
      <c r="CF59" t="s">
        <v>153</v>
      </c>
      <c r="CI59" t="str">
        <f t="shared" si="4"/>
        <v>0</v>
      </c>
      <c r="CL59" t="s">
        <v>136</v>
      </c>
      <c r="CN59" t="s">
        <v>132</v>
      </c>
      <c r="CO59" t="s">
        <v>118</v>
      </c>
    </row>
    <row r="60" spans="1:93" hidden="1" x14ac:dyDescent="0.3">
      <c r="A60">
        <v>2577189</v>
      </c>
      <c r="B60">
        <v>76457</v>
      </c>
      <c r="C60" t="str">
        <f>"960516450730"</f>
        <v>960516450730</v>
      </c>
      <c r="D60" t="s">
        <v>749</v>
      </c>
      <c r="E60" t="s">
        <v>750</v>
      </c>
      <c r="F60" t="s">
        <v>751</v>
      </c>
      <c r="G60" s="1">
        <v>35201</v>
      </c>
      <c r="I60" t="s">
        <v>106</v>
      </c>
      <c r="J60" t="s">
        <v>107</v>
      </c>
      <c r="K60" t="s">
        <v>108</v>
      </c>
      <c r="P60" t="s">
        <v>109</v>
      </c>
      <c r="Q60" t="s">
        <v>136</v>
      </c>
      <c r="W60" t="str">
        <f>"2022-08-31T00:00:00"</f>
        <v>2022-08-31T00:00:00</v>
      </c>
      <c r="X60" t="str">
        <f>"139"</f>
        <v>139</v>
      </c>
      <c r="Z60" t="s">
        <v>137</v>
      </c>
      <c r="AA60" t="s">
        <v>111</v>
      </c>
      <c r="AE60" t="s">
        <v>112</v>
      </c>
      <c r="AF60" t="s">
        <v>176</v>
      </c>
      <c r="AG60">
        <v>0</v>
      </c>
      <c r="AH60" t="s">
        <v>114</v>
      </c>
      <c r="AI60" t="s">
        <v>115</v>
      </c>
      <c r="AJ60" t="s">
        <v>116</v>
      </c>
      <c r="AN60" t="s">
        <v>117</v>
      </c>
      <c r="AO60" t="s">
        <v>118</v>
      </c>
      <c r="AP60" t="str">
        <f>"4"</f>
        <v>4</v>
      </c>
      <c r="AQ60" t="str">
        <f>"5"</f>
        <v>5</v>
      </c>
      <c r="AR60" t="str">
        <f>"4"</f>
        <v>4</v>
      </c>
      <c r="AS60" t="str">
        <f>"4"</f>
        <v>4</v>
      </c>
      <c r="AT60" t="str">
        <f>"1"</f>
        <v>1</v>
      </c>
      <c r="AU60" t="str">
        <f>"indiulmesova.arai.96@mail.ru"</f>
        <v>indiulmesova.arai.96@mail.ru</v>
      </c>
      <c r="AV60" t="str">
        <f>"87474580591"</f>
        <v>87474580591</v>
      </c>
      <c r="AW60" t="s">
        <v>159</v>
      </c>
      <c r="AX60" t="s">
        <v>209</v>
      </c>
      <c r="AZ60" t="s">
        <v>189</v>
      </c>
      <c r="BH60" t="s">
        <v>118</v>
      </c>
      <c r="BI60">
        <v>0</v>
      </c>
      <c r="BU60" t="s">
        <v>123</v>
      </c>
      <c r="BV60" t="s">
        <v>752</v>
      </c>
      <c r="BW60" t="s">
        <v>753</v>
      </c>
      <c r="BX60" t="s">
        <v>125</v>
      </c>
      <c r="BY60" t="s">
        <v>126</v>
      </c>
      <c r="BZ60">
        <v>24</v>
      </c>
      <c r="CA60" t="s">
        <v>754</v>
      </c>
      <c r="CB60" t="s">
        <v>755</v>
      </c>
      <c r="CC60">
        <v>180310290</v>
      </c>
      <c r="CD60" t="s">
        <v>171</v>
      </c>
      <c r="CL60" t="s">
        <v>136</v>
      </c>
      <c r="CN60" t="s">
        <v>132</v>
      </c>
      <c r="CO60" t="s">
        <v>118</v>
      </c>
    </row>
    <row r="61" spans="1:93" hidden="1" x14ac:dyDescent="0.3">
      <c r="A61">
        <v>2605871</v>
      </c>
      <c r="B61">
        <v>157142</v>
      </c>
      <c r="C61" t="str">
        <f>"800213402048"</f>
        <v>800213402048</v>
      </c>
      <c r="D61" t="s">
        <v>756</v>
      </c>
      <c r="E61" t="s">
        <v>757</v>
      </c>
      <c r="F61" t="s">
        <v>227</v>
      </c>
      <c r="G61" s="1">
        <v>29264</v>
      </c>
      <c r="I61" t="s">
        <v>106</v>
      </c>
      <c r="J61" t="s">
        <v>107</v>
      </c>
      <c r="K61" t="s">
        <v>108</v>
      </c>
      <c r="P61" t="s">
        <v>109</v>
      </c>
      <c r="Q61" t="s">
        <v>136</v>
      </c>
      <c r="W61" t="str">
        <f>"2022-10-10T00:00:00"</f>
        <v>2022-10-10T00:00:00</v>
      </c>
      <c r="X61" t="str">
        <f>"177"</f>
        <v>177</v>
      </c>
      <c r="Z61" t="s">
        <v>528</v>
      </c>
      <c r="AA61" t="s">
        <v>111</v>
      </c>
      <c r="AE61" t="s">
        <v>138</v>
      </c>
      <c r="AF61" t="s">
        <v>113</v>
      </c>
      <c r="AG61">
        <v>1.5</v>
      </c>
      <c r="AH61" t="s">
        <v>114</v>
      </c>
      <c r="AI61" t="s">
        <v>115</v>
      </c>
      <c r="AJ61" t="s">
        <v>116</v>
      </c>
      <c r="AN61" t="s">
        <v>117</v>
      </c>
      <c r="AO61" t="s">
        <v>118</v>
      </c>
      <c r="AP61" t="str">
        <f>"15"</f>
        <v>15</v>
      </c>
      <c r="AQ61" t="str">
        <f>"16"</f>
        <v>16</v>
      </c>
      <c r="AR61" t="str">
        <f>"11"</f>
        <v>11</v>
      </c>
      <c r="AS61" t="str">
        <f>"11"</f>
        <v>11</v>
      </c>
      <c r="AT61" t="str">
        <f>"1"</f>
        <v>1</v>
      </c>
      <c r="AU61" t="str">
        <f>"step-school@inbox.ru"</f>
        <v>step-school@inbox.ru</v>
      </c>
      <c r="AV61" t="str">
        <f>"88775414993"</f>
        <v>88775414993</v>
      </c>
      <c r="AW61" t="s">
        <v>119</v>
      </c>
      <c r="AZ61" t="s">
        <v>211</v>
      </c>
      <c r="BD61" t="s">
        <v>397</v>
      </c>
      <c r="BE61" t="s">
        <v>122</v>
      </c>
      <c r="BF61">
        <v>1.5</v>
      </c>
      <c r="BG61" t="str">
        <f>"[24]"</f>
        <v>[24]</v>
      </c>
      <c r="BH61" t="s">
        <v>118</v>
      </c>
      <c r="BI61">
        <v>0</v>
      </c>
      <c r="BN61" t="s">
        <v>275</v>
      </c>
      <c r="BR61" t="s">
        <v>131</v>
      </c>
      <c r="BU61" t="s">
        <v>758</v>
      </c>
      <c r="BV61" t="s">
        <v>759</v>
      </c>
      <c r="BW61" t="s">
        <v>760</v>
      </c>
      <c r="BX61" t="s">
        <v>761</v>
      </c>
      <c r="BY61" t="s">
        <v>762</v>
      </c>
      <c r="BZ61" t="s">
        <v>763</v>
      </c>
      <c r="CA61" t="s">
        <v>764</v>
      </c>
      <c r="CB61" t="s">
        <v>765</v>
      </c>
      <c r="CC61" t="s">
        <v>766</v>
      </c>
      <c r="CD61" t="s">
        <v>171</v>
      </c>
      <c r="CE61" t="s">
        <v>767</v>
      </c>
      <c r="CF61" t="s">
        <v>153</v>
      </c>
      <c r="CI61" t="str">
        <f>"0"</f>
        <v>0</v>
      </c>
      <c r="CJ61" t="s">
        <v>136</v>
      </c>
      <c r="CL61" t="s">
        <v>131</v>
      </c>
      <c r="CN61" t="s">
        <v>132</v>
      </c>
      <c r="CO61" t="s">
        <v>118</v>
      </c>
    </row>
    <row r="62" spans="1:93" x14ac:dyDescent="0.3">
      <c r="A62">
        <v>2609110</v>
      </c>
      <c r="B62">
        <v>141547</v>
      </c>
      <c r="C62" t="str">
        <f>"720908399035"</f>
        <v>720908399035</v>
      </c>
      <c r="D62" t="s">
        <v>768</v>
      </c>
      <c r="E62" t="s">
        <v>769</v>
      </c>
      <c r="F62" t="s">
        <v>770</v>
      </c>
      <c r="G62" s="1">
        <v>26550</v>
      </c>
      <c r="I62" t="s">
        <v>548</v>
      </c>
      <c r="J62" t="s">
        <v>771</v>
      </c>
      <c r="K62" t="s">
        <v>205</v>
      </c>
      <c r="P62" t="s">
        <v>109</v>
      </c>
      <c r="Q62" t="s">
        <v>136</v>
      </c>
      <c r="W62" t="str">
        <f>"2019-01-03T00:00:00"</f>
        <v>2019-01-03T00:00:00</v>
      </c>
      <c r="X62" t="str">
        <f>"2 л/с"</f>
        <v>2 л/с</v>
      </c>
      <c r="Z62" t="s">
        <v>540</v>
      </c>
      <c r="AA62" t="s">
        <v>772</v>
      </c>
      <c r="AE62" t="s">
        <v>138</v>
      </c>
      <c r="AF62" t="s">
        <v>773</v>
      </c>
      <c r="AG62">
        <v>1</v>
      </c>
      <c r="AH62" t="s">
        <v>774</v>
      </c>
      <c r="AI62" t="s">
        <v>115</v>
      </c>
      <c r="AJ62" t="s">
        <v>775</v>
      </c>
      <c r="AN62" t="s">
        <v>486</v>
      </c>
      <c r="AP62" t="str">
        <f>"12"</f>
        <v>12</v>
      </c>
      <c r="AQ62" t="str">
        <f>"17"</f>
        <v>17</v>
      </c>
      <c r="AS62" t="str">
        <f>"0"</f>
        <v>0</v>
      </c>
      <c r="AT62" t="str">
        <f>"5"</f>
        <v>5</v>
      </c>
      <c r="BH62" t="s">
        <v>118</v>
      </c>
      <c r="BI62">
        <v>0</v>
      </c>
    </row>
    <row r="63" spans="1:93" x14ac:dyDescent="0.3">
      <c r="A63">
        <v>2609147</v>
      </c>
      <c r="B63">
        <v>1699906</v>
      </c>
      <c r="C63" t="str">
        <f>"910224450942"</f>
        <v>910224450942</v>
      </c>
      <c r="D63" t="s">
        <v>776</v>
      </c>
      <c r="E63" t="s">
        <v>777</v>
      </c>
      <c r="F63" t="s">
        <v>778</v>
      </c>
      <c r="G63" s="1">
        <v>33293</v>
      </c>
      <c r="I63" t="s">
        <v>106</v>
      </c>
      <c r="J63" t="s">
        <v>107</v>
      </c>
      <c r="K63" t="s">
        <v>108</v>
      </c>
      <c r="P63" t="s">
        <v>109</v>
      </c>
      <c r="Q63" t="s">
        <v>136</v>
      </c>
      <c r="W63" t="str">
        <f>"2022-09-01T00:00:00"</f>
        <v>2022-09-01T00:00:00</v>
      </c>
      <c r="X63" t="str">
        <f>"144"</f>
        <v>144</v>
      </c>
      <c r="Z63" t="s">
        <v>540</v>
      </c>
      <c r="AA63" t="s">
        <v>111</v>
      </c>
      <c r="AE63" t="s">
        <v>138</v>
      </c>
      <c r="AF63" t="s">
        <v>779</v>
      </c>
      <c r="AG63">
        <v>1</v>
      </c>
      <c r="AH63" t="s">
        <v>114</v>
      </c>
      <c r="AI63" t="s">
        <v>115</v>
      </c>
      <c r="AJ63" t="s">
        <v>485</v>
      </c>
      <c r="AN63" t="s">
        <v>486</v>
      </c>
      <c r="AP63" t="str">
        <f>"10"</f>
        <v>10</v>
      </c>
      <c r="AQ63" t="str">
        <f>"11"</f>
        <v>11</v>
      </c>
      <c r="AS63" t="str">
        <f>"0"</f>
        <v>0</v>
      </c>
      <c r="AT63" t="str">
        <f>"1"</f>
        <v>1</v>
      </c>
      <c r="BH63" t="s">
        <v>780</v>
      </c>
      <c r="BI63">
        <v>0.5</v>
      </c>
    </row>
    <row r="64" spans="1:93" x14ac:dyDescent="0.3">
      <c r="A64">
        <v>2610167</v>
      </c>
      <c r="B64">
        <v>1700308</v>
      </c>
      <c r="C64" t="str">
        <f>"941003451302"</f>
        <v>941003451302</v>
      </c>
      <c r="D64" t="s">
        <v>781</v>
      </c>
      <c r="E64" t="s">
        <v>782</v>
      </c>
      <c r="G64" s="1">
        <v>34610</v>
      </c>
      <c r="I64" t="s">
        <v>106</v>
      </c>
      <c r="J64" t="s">
        <v>107</v>
      </c>
      <c r="K64" t="s">
        <v>108</v>
      </c>
      <c r="P64" t="s">
        <v>109</v>
      </c>
      <c r="Q64" t="s">
        <v>136</v>
      </c>
      <c r="W64" t="str">
        <f>"2022-10-21T00:00:00"</f>
        <v>2022-10-21T00:00:00</v>
      </c>
      <c r="X64" t="str">
        <f>"153/2022"</f>
        <v>153/2022</v>
      </c>
      <c r="Z64" t="s">
        <v>528</v>
      </c>
      <c r="AA64" t="s">
        <v>111</v>
      </c>
      <c r="AE64" t="s">
        <v>112</v>
      </c>
      <c r="AF64" t="s">
        <v>780</v>
      </c>
      <c r="AG64">
        <v>0</v>
      </c>
      <c r="AH64" t="s">
        <v>114</v>
      </c>
      <c r="AI64" t="s">
        <v>115</v>
      </c>
      <c r="AJ64" t="s">
        <v>116</v>
      </c>
      <c r="AN64" t="s">
        <v>117</v>
      </c>
      <c r="AO64" t="s">
        <v>118</v>
      </c>
      <c r="AP64" t="str">
        <f>"1"</f>
        <v>1</v>
      </c>
      <c r="AQ64" t="str">
        <f>"2"</f>
        <v>2</v>
      </c>
      <c r="AS64" t="str">
        <f>"0"</f>
        <v>0</v>
      </c>
      <c r="AT64" t="str">
        <f>"1"</f>
        <v>1</v>
      </c>
      <c r="AU64" t="str">
        <f>"saifullinaaa@mail.ru"</f>
        <v>saifullinaaa@mail.ru</v>
      </c>
      <c r="AV64" t="str">
        <f>"87061421024"</f>
        <v>87061421024</v>
      </c>
      <c r="AW64" t="s">
        <v>119</v>
      </c>
      <c r="AZ64" t="s">
        <v>130</v>
      </c>
      <c r="BH64" t="s">
        <v>118</v>
      </c>
      <c r="BI64">
        <v>0</v>
      </c>
      <c r="BU64" t="s">
        <v>588</v>
      </c>
      <c r="CE64" t="s">
        <v>224</v>
      </c>
      <c r="CI64" t="str">
        <f t="shared" ref="CI64:CI69" si="5">"0"</f>
        <v>0</v>
      </c>
      <c r="CN64" t="s">
        <v>783</v>
      </c>
    </row>
    <row r="65" spans="1:93" hidden="1" x14ac:dyDescent="0.3">
      <c r="A65">
        <v>2630146</v>
      </c>
      <c r="B65">
        <v>155861</v>
      </c>
      <c r="C65" t="str">
        <f>"570720301337"</f>
        <v>570720301337</v>
      </c>
      <c r="D65" t="s">
        <v>784</v>
      </c>
      <c r="E65" t="s">
        <v>785</v>
      </c>
      <c r="F65" t="s">
        <v>786</v>
      </c>
      <c r="G65" s="1">
        <v>21021</v>
      </c>
      <c r="I65" t="s">
        <v>548</v>
      </c>
      <c r="J65" t="s">
        <v>107</v>
      </c>
      <c r="K65" t="s">
        <v>787</v>
      </c>
      <c r="P65" t="s">
        <v>549</v>
      </c>
      <c r="Q65" t="s">
        <v>136</v>
      </c>
      <c r="W65" t="str">
        <f>"2022-11-01T00:00:00"</f>
        <v>2022-11-01T00:00:00</v>
      </c>
      <c r="X65" t="str">
        <f>"198"</f>
        <v>198</v>
      </c>
      <c r="Z65" t="s">
        <v>396</v>
      </c>
      <c r="AA65" t="s">
        <v>111</v>
      </c>
      <c r="AE65" t="s">
        <v>138</v>
      </c>
      <c r="AF65" t="s">
        <v>113</v>
      </c>
      <c r="AG65">
        <v>1.2</v>
      </c>
      <c r="AH65" t="s">
        <v>114</v>
      </c>
      <c r="AI65" t="s">
        <v>115</v>
      </c>
      <c r="AJ65" t="s">
        <v>116</v>
      </c>
      <c r="AN65" t="s">
        <v>117</v>
      </c>
      <c r="AO65" t="s">
        <v>118</v>
      </c>
      <c r="AP65" t="str">
        <f>"37"</f>
        <v>37</v>
      </c>
      <c r="AQ65" t="str">
        <f>"38"</f>
        <v>38</v>
      </c>
      <c r="AR65" t="str">
        <f>"38"</f>
        <v>38</v>
      </c>
      <c r="AS65" t="str">
        <f>"38"</f>
        <v>38</v>
      </c>
      <c r="AT65" t="str">
        <f>"1"</f>
        <v>1</v>
      </c>
      <c r="AU65" t="str">
        <f>"karibullin57@inbox.ru"</f>
        <v>karibullin57@inbox.ru</v>
      </c>
      <c r="AV65" t="str">
        <f>"87015516845"</f>
        <v>87015516845</v>
      </c>
      <c r="AW65" t="s">
        <v>741</v>
      </c>
      <c r="AX65" t="s">
        <v>631</v>
      </c>
      <c r="AZ65" t="s">
        <v>211</v>
      </c>
      <c r="BD65" t="s">
        <v>424</v>
      </c>
      <c r="BE65" t="s">
        <v>122</v>
      </c>
      <c r="BF65">
        <v>1.2</v>
      </c>
      <c r="BG65" t="str">
        <f>"[19]"</f>
        <v>[19]</v>
      </c>
      <c r="BH65" t="s">
        <v>118</v>
      </c>
      <c r="BI65">
        <v>0</v>
      </c>
      <c r="BN65" t="s">
        <v>161</v>
      </c>
      <c r="BR65" t="s">
        <v>131</v>
      </c>
      <c r="BU65" t="s">
        <v>289</v>
      </c>
      <c r="BV65" t="s">
        <v>788</v>
      </c>
      <c r="BW65" t="s">
        <v>291</v>
      </c>
      <c r="BX65" t="s">
        <v>292</v>
      </c>
      <c r="BY65" t="s">
        <v>293</v>
      </c>
      <c r="BZ65" t="s">
        <v>789</v>
      </c>
      <c r="CA65" t="s">
        <v>790</v>
      </c>
      <c r="CB65" t="s">
        <v>791</v>
      </c>
      <c r="CC65" t="s">
        <v>792</v>
      </c>
      <c r="CD65" t="s">
        <v>171</v>
      </c>
      <c r="CE65" t="s">
        <v>793</v>
      </c>
      <c r="CF65" t="s">
        <v>153</v>
      </c>
      <c r="CI65" t="str">
        <f t="shared" si="5"/>
        <v>0</v>
      </c>
      <c r="CL65" t="s">
        <v>136</v>
      </c>
      <c r="CN65" t="s">
        <v>132</v>
      </c>
      <c r="CO65" t="s">
        <v>118</v>
      </c>
    </row>
    <row r="66" spans="1:93" hidden="1" x14ac:dyDescent="0.3">
      <c r="A66">
        <v>2630177</v>
      </c>
      <c r="B66">
        <v>59129</v>
      </c>
      <c r="C66" t="str">
        <f>"860513351488"</f>
        <v>860513351488</v>
      </c>
      <c r="D66" t="s">
        <v>794</v>
      </c>
      <c r="E66" t="s">
        <v>795</v>
      </c>
      <c r="G66" s="1">
        <v>31545</v>
      </c>
      <c r="I66" t="s">
        <v>548</v>
      </c>
      <c r="J66" t="s">
        <v>107</v>
      </c>
      <c r="K66" t="s">
        <v>108</v>
      </c>
      <c r="P66" t="s">
        <v>109</v>
      </c>
      <c r="Q66" t="s">
        <v>136</v>
      </c>
      <c r="W66" t="str">
        <f>"2022-11-01T00:00:00"</f>
        <v>2022-11-01T00:00:00</v>
      </c>
      <c r="X66" t="str">
        <f>"199"</f>
        <v>199</v>
      </c>
      <c r="Z66" t="s">
        <v>396</v>
      </c>
      <c r="AA66" t="s">
        <v>111</v>
      </c>
      <c r="AE66" t="s">
        <v>138</v>
      </c>
      <c r="AF66" t="s">
        <v>113</v>
      </c>
      <c r="AG66">
        <v>1.5</v>
      </c>
      <c r="AH66" t="s">
        <v>114</v>
      </c>
      <c r="AI66" t="s">
        <v>115</v>
      </c>
      <c r="AJ66" t="s">
        <v>208</v>
      </c>
      <c r="AN66" t="s">
        <v>117</v>
      </c>
      <c r="AO66" t="s">
        <v>118</v>
      </c>
      <c r="AP66" t="str">
        <f>"6"</f>
        <v>6</v>
      </c>
      <c r="AQ66" t="str">
        <f>"7"</f>
        <v>7</v>
      </c>
      <c r="AR66" t="str">
        <f>"3"</f>
        <v>3</v>
      </c>
      <c r="AS66" t="str">
        <f>"3"</f>
        <v>3</v>
      </c>
      <c r="AT66" t="str">
        <f>"1"</f>
        <v>1</v>
      </c>
      <c r="AU66" t="str">
        <f>"nur.rinat@inbox.ru"</f>
        <v>nur.rinat@inbox.ru</v>
      </c>
      <c r="AV66" t="str">
        <f>"87052935633"</f>
        <v>87052935633</v>
      </c>
      <c r="AW66" t="s">
        <v>119</v>
      </c>
      <c r="AZ66" t="s">
        <v>120</v>
      </c>
      <c r="BD66" t="s">
        <v>141</v>
      </c>
      <c r="BE66" t="s">
        <v>213</v>
      </c>
      <c r="BF66">
        <v>1.5</v>
      </c>
      <c r="BG66" t="str">
        <f>"[24]"</f>
        <v>[24]</v>
      </c>
      <c r="BH66" t="s">
        <v>118</v>
      </c>
      <c r="BI66">
        <v>0</v>
      </c>
      <c r="BN66" t="s">
        <v>275</v>
      </c>
      <c r="BR66" t="s">
        <v>131</v>
      </c>
      <c r="BU66" t="s">
        <v>300</v>
      </c>
      <c r="BV66" t="s">
        <v>796</v>
      </c>
      <c r="BW66" t="s">
        <v>797</v>
      </c>
      <c r="BX66" t="s">
        <v>292</v>
      </c>
      <c r="BY66" t="s">
        <v>798</v>
      </c>
      <c r="BZ66" t="s">
        <v>799</v>
      </c>
      <c r="CA66" t="s">
        <v>800</v>
      </c>
      <c r="CB66" t="s">
        <v>801</v>
      </c>
      <c r="CC66" t="s">
        <v>802</v>
      </c>
      <c r="CD66" t="s">
        <v>171</v>
      </c>
      <c r="CE66" t="s">
        <v>803</v>
      </c>
      <c r="CF66" t="s">
        <v>153</v>
      </c>
      <c r="CI66" t="str">
        <f t="shared" si="5"/>
        <v>0</v>
      </c>
      <c r="CJ66" t="s">
        <v>136</v>
      </c>
      <c r="CL66" t="s">
        <v>131</v>
      </c>
      <c r="CN66" t="s">
        <v>132</v>
      </c>
      <c r="CO66" t="s">
        <v>185</v>
      </c>
    </row>
    <row r="67" spans="1:93" hidden="1" x14ac:dyDescent="0.3">
      <c r="A67">
        <v>2678646</v>
      </c>
      <c r="B67">
        <v>155785</v>
      </c>
      <c r="C67" t="str">
        <f>"960211450227"</f>
        <v>960211450227</v>
      </c>
      <c r="D67" t="s">
        <v>804</v>
      </c>
      <c r="E67" t="s">
        <v>805</v>
      </c>
      <c r="F67" t="s">
        <v>806</v>
      </c>
      <c r="G67" s="1">
        <v>35106</v>
      </c>
      <c r="I67" t="s">
        <v>106</v>
      </c>
      <c r="J67" t="s">
        <v>107</v>
      </c>
      <c r="K67" t="s">
        <v>205</v>
      </c>
      <c r="P67" t="s">
        <v>109</v>
      </c>
      <c r="Q67" t="s">
        <v>136</v>
      </c>
      <c r="W67" t="str">
        <f>"2023-01-04T00:00:00"</f>
        <v>2023-01-04T00:00:00</v>
      </c>
      <c r="X67" t="str">
        <f>"1/2"</f>
        <v>1/2</v>
      </c>
      <c r="Z67" t="s">
        <v>528</v>
      </c>
      <c r="AA67" t="s">
        <v>111</v>
      </c>
      <c r="AE67" t="s">
        <v>138</v>
      </c>
      <c r="AF67" t="s">
        <v>113</v>
      </c>
      <c r="AG67">
        <v>1.4</v>
      </c>
      <c r="AH67" t="s">
        <v>114</v>
      </c>
      <c r="AI67" t="s">
        <v>115</v>
      </c>
      <c r="AJ67" t="s">
        <v>116</v>
      </c>
      <c r="AN67" t="s">
        <v>117</v>
      </c>
      <c r="AO67" t="s">
        <v>118</v>
      </c>
      <c r="AP67" t="str">
        <f>"3"</f>
        <v>3</v>
      </c>
      <c r="AQ67" t="str">
        <f>"4"</f>
        <v>4</v>
      </c>
      <c r="AR67" t="str">
        <f>"4"</f>
        <v>4</v>
      </c>
      <c r="AS67" t="str">
        <f>"4"</f>
        <v>4</v>
      </c>
      <c r="AT67" t="str">
        <f>"1"</f>
        <v>1</v>
      </c>
      <c r="AU67" t="str">
        <f>"579203144@mail.ru"</f>
        <v>579203144@mail.ru</v>
      </c>
      <c r="AV67" t="str">
        <f>"87075138667"</f>
        <v>87075138667</v>
      </c>
      <c r="AW67" t="s">
        <v>119</v>
      </c>
      <c r="AZ67" t="s">
        <v>211</v>
      </c>
      <c r="BD67" t="s">
        <v>190</v>
      </c>
      <c r="BE67" t="s">
        <v>122</v>
      </c>
      <c r="BF67">
        <v>1.4</v>
      </c>
      <c r="BG67" t="str">
        <f>"[22]"</f>
        <v>[22]</v>
      </c>
      <c r="BH67" t="s">
        <v>118</v>
      </c>
      <c r="BI67">
        <v>0</v>
      </c>
      <c r="BN67" t="s">
        <v>161</v>
      </c>
      <c r="BR67" t="s">
        <v>131</v>
      </c>
      <c r="BU67" t="s">
        <v>707</v>
      </c>
      <c r="BV67" t="s">
        <v>190</v>
      </c>
      <c r="BW67" t="s">
        <v>708</v>
      </c>
      <c r="BX67" t="s">
        <v>125</v>
      </c>
      <c r="BY67" t="s">
        <v>570</v>
      </c>
      <c r="BZ67">
        <v>120</v>
      </c>
      <c r="CA67" t="s">
        <v>807</v>
      </c>
      <c r="CB67" t="s">
        <v>808</v>
      </c>
      <c r="CC67" t="s">
        <v>118</v>
      </c>
      <c r="CD67" t="s">
        <v>171</v>
      </c>
      <c r="CE67" t="s">
        <v>809</v>
      </c>
      <c r="CF67" t="s">
        <v>153</v>
      </c>
      <c r="CI67" t="str">
        <f t="shared" si="5"/>
        <v>0</v>
      </c>
      <c r="CL67" t="s">
        <v>136</v>
      </c>
      <c r="CN67" t="s">
        <v>201</v>
      </c>
      <c r="CO67" t="s">
        <v>118</v>
      </c>
    </row>
    <row r="68" spans="1:93" hidden="1" x14ac:dyDescent="0.3">
      <c r="A68">
        <v>2779355</v>
      </c>
      <c r="B68">
        <v>154497</v>
      </c>
      <c r="C68" t="str">
        <f>"890901451072"</f>
        <v>890901451072</v>
      </c>
      <c r="D68" t="s">
        <v>810</v>
      </c>
      <c r="E68" t="s">
        <v>811</v>
      </c>
      <c r="G68" s="1">
        <v>32752</v>
      </c>
      <c r="I68" t="s">
        <v>106</v>
      </c>
      <c r="J68" t="s">
        <v>107</v>
      </c>
      <c r="K68" t="s">
        <v>108</v>
      </c>
      <c r="P68" t="s">
        <v>109</v>
      </c>
      <c r="Q68" t="s">
        <v>136</v>
      </c>
      <c r="W68" t="str">
        <f>"2023-08-21T00:00:00"</f>
        <v>2023-08-21T00:00:00</v>
      </c>
      <c r="X68" t="str">
        <f>"198"</f>
        <v>198</v>
      </c>
      <c r="Z68" t="s">
        <v>396</v>
      </c>
      <c r="AA68" t="s">
        <v>111</v>
      </c>
      <c r="AE68" t="s">
        <v>138</v>
      </c>
      <c r="AF68" t="s">
        <v>207</v>
      </c>
      <c r="AG68">
        <v>1.3</v>
      </c>
      <c r="AH68" t="s">
        <v>114</v>
      </c>
      <c r="AI68" t="s">
        <v>229</v>
      </c>
      <c r="AJ68" t="s">
        <v>230</v>
      </c>
      <c r="AN68" t="s">
        <v>117</v>
      </c>
      <c r="AO68" t="s">
        <v>118</v>
      </c>
      <c r="AP68" t="str">
        <f>"14"</f>
        <v>14</v>
      </c>
      <c r="AQ68" t="str">
        <f>"14"</f>
        <v>14</v>
      </c>
      <c r="AR68" t="str">
        <f>"12"</f>
        <v>12</v>
      </c>
      <c r="AS68" t="str">
        <f>"12"</f>
        <v>12</v>
      </c>
      <c r="AT68" t="str">
        <f>"0"</f>
        <v>0</v>
      </c>
      <c r="AU68" t="str">
        <f>"guleka_01_09@mail.ru"</f>
        <v>guleka_01_09@mail.ru</v>
      </c>
      <c r="AV68" t="str">
        <f>"87787315307"</f>
        <v>87787315307</v>
      </c>
      <c r="AW68" t="s">
        <v>139</v>
      </c>
      <c r="AX68" t="s">
        <v>423</v>
      </c>
      <c r="AZ68" t="s">
        <v>189</v>
      </c>
      <c r="BD68" t="s">
        <v>212</v>
      </c>
      <c r="BE68" t="s">
        <v>122</v>
      </c>
      <c r="BF68">
        <v>1.3</v>
      </c>
      <c r="BG68" t="str">
        <f>"[20]"</f>
        <v>[20]</v>
      </c>
      <c r="BH68" t="s">
        <v>118</v>
      </c>
      <c r="BI68">
        <v>0</v>
      </c>
      <c r="BN68" t="s">
        <v>161</v>
      </c>
      <c r="BR68" t="s">
        <v>131</v>
      </c>
      <c r="BU68" t="s">
        <v>812</v>
      </c>
      <c r="BV68" t="s">
        <v>813</v>
      </c>
      <c r="BW68" t="s">
        <v>814</v>
      </c>
      <c r="BX68" t="s">
        <v>815</v>
      </c>
      <c r="BY68" t="s">
        <v>816</v>
      </c>
      <c r="BZ68" t="s">
        <v>817</v>
      </c>
      <c r="CA68" t="s">
        <v>818</v>
      </c>
      <c r="CB68" t="s">
        <v>819</v>
      </c>
      <c r="CC68" t="s">
        <v>820</v>
      </c>
      <c r="CD68" t="s">
        <v>171</v>
      </c>
      <c r="CE68" t="s">
        <v>243</v>
      </c>
      <c r="CF68" s="2">
        <v>45383</v>
      </c>
      <c r="CI68" t="str">
        <f t="shared" si="5"/>
        <v>0</v>
      </c>
      <c r="CL68" t="s">
        <v>131</v>
      </c>
      <c r="CN68" t="s">
        <v>132</v>
      </c>
      <c r="CO68" t="s">
        <v>244</v>
      </c>
    </row>
    <row r="69" spans="1:93" hidden="1" x14ac:dyDescent="0.3">
      <c r="A69">
        <v>2779811</v>
      </c>
      <c r="B69">
        <v>157124</v>
      </c>
      <c r="C69" t="str">
        <f>"730216350607"</f>
        <v>730216350607</v>
      </c>
      <c r="D69" t="s">
        <v>821</v>
      </c>
      <c r="E69" t="s">
        <v>822</v>
      </c>
      <c r="G69" s="1">
        <v>26711</v>
      </c>
      <c r="I69" t="s">
        <v>548</v>
      </c>
      <c r="J69" t="s">
        <v>107</v>
      </c>
      <c r="K69" t="s">
        <v>108</v>
      </c>
      <c r="P69" t="s">
        <v>549</v>
      </c>
      <c r="Q69" t="s">
        <v>136</v>
      </c>
      <c r="W69" t="str">
        <f>"2023-02-02T00:00:00"</f>
        <v>2023-02-02T00:00:00</v>
      </c>
      <c r="X69" t="str">
        <f>"31/1"</f>
        <v>31/1</v>
      </c>
      <c r="Z69" t="s">
        <v>540</v>
      </c>
      <c r="AA69" t="s">
        <v>772</v>
      </c>
      <c r="AE69" t="s">
        <v>138</v>
      </c>
      <c r="AF69" t="s">
        <v>113</v>
      </c>
      <c r="AG69">
        <v>0.6</v>
      </c>
      <c r="AH69" t="s">
        <v>774</v>
      </c>
      <c r="AI69" t="s">
        <v>115</v>
      </c>
      <c r="AJ69" t="s">
        <v>116</v>
      </c>
      <c r="AN69" t="s">
        <v>117</v>
      </c>
      <c r="AO69" t="s">
        <v>118</v>
      </c>
      <c r="AP69" t="str">
        <f>"23"</f>
        <v>23</v>
      </c>
      <c r="AQ69" t="str">
        <f>"24"</f>
        <v>24</v>
      </c>
      <c r="AR69" t="str">
        <f>"23"</f>
        <v>23</v>
      </c>
      <c r="AS69" t="str">
        <f>"23"</f>
        <v>23</v>
      </c>
      <c r="AT69" t="str">
        <f>"1"</f>
        <v>1</v>
      </c>
      <c r="AU69" t="str">
        <f>"bokenbaj73@bk.ru"</f>
        <v>bokenbaj73@bk.ru</v>
      </c>
      <c r="AV69" t="str">
        <f>"87164563020"</f>
        <v>87164563020</v>
      </c>
      <c r="AW69" t="s">
        <v>119</v>
      </c>
      <c r="AX69" t="s">
        <v>160</v>
      </c>
      <c r="AZ69" t="s">
        <v>189</v>
      </c>
      <c r="BD69" t="s">
        <v>424</v>
      </c>
      <c r="BE69" t="s">
        <v>122</v>
      </c>
      <c r="BF69">
        <v>0.6</v>
      </c>
      <c r="BG69" t="str">
        <f>"[9]"</f>
        <v>[9]</v>
      </c>
      <c r="BH69" t="s">
        <v>823</v>
      </c>
      <c r="BI69">
        <v>1</v>
      </c>
      <c r="BN69" t="s">
        <v>824</v>
      </c>
      <c r="BR69" t="s">
        <v>136</v>
      </c>
      <c r="BU69" t="s">
        <v>425</v>
      </c>
      <c r="BV69" t="s">
        <v>825</v>
      </c>
      <c r="BW69" t="s">
        <v>826</v>
      </c>
      <c r="BX69" t="s">
        <v>827</v>
      </c>
      <c r="BY69" t="s">
        <v>311</v>
      </c>
      <c r="BZ69" t="s">
        <v>828</v>
      </c>
      <c r="CA69" t="s">
        <v>829</v>
      </c>
      <c r="CB69" t="s">
        <v>830</v>
      </c>
      <c r="CC69" t="s">
        <v>831</v>
      </c>
      <c r="CD69" t="s">
        <v>424</v>
      </c>
      <c r="CE69" t="s">
        <v>832</v>
      </c>
      <c r="CF69" t="s">
        <v>153</v>
      </c>
      <c r="CI69" t="str">
        <f t="shared" si="5"/>
        <v>0</v>
      </c>
      <c r="CL69" t="s">
        <v>136</v>
      </c>
      <c r="CN69" t="s">
        <v>132</v>
      </c>
      <c r="CO69" t="s">
        <v>118</v>
      </c>
    </row>
    <row r="70" spans="1:93" x14ac:dyDescent="0.3">
      <c r="A70">
        <v>2779813</v>
      </c>
      <c r="B70">
        <v>1771879</v>
      </c>
      <c r="C70" t="str">
        <f>"660514350156"</f>
        <v>660514350156</v>
      </c>
      <c r="D70" t="s">
        <v>833</v>
      </c>
      <c r="E70" t="s">
        <v>834</v>
      </c>
      <c r="F70" t="s">
        <v>835</v>
      </c>
      <c r="G70" s="1">
        <v>24241</v>
      </c>
      <c r="I70" t="s">
        <v>548</v>
      </c>
      <c r="J70" t="s">
        <v>107</v>
      </c>
      <c r="K70" t="s">
        <v>205</v>
      </c>
      <c r="P70" t="s">
        <v>109</v>
      </c>
      <c r="Q70" t="s">
        <v>136</v>
      </c>
      <c r="W70" t="str">
        <f>"2022-11-01T00:00:00"</f>
        <v>2022-11-01T00:00:00</v>
      </c>
      <c r="X70" t="str">
        <f>"199/1"</f>
        <v>199/1</v>
      </c>
      <c r="Z70" t="s">
        <v>540</v>
      </c>
      <c r="AA70" t="s">
        <v>772</v>
      </c>
      <c r="AE70" t="s">
        <v>138</v>
      </c>
      <c r="AF70" t="s">
        <v>836</v>
      </c>
      <c r="AG70">
        <v>1</v>
      </c>
      <c r="AH70" t="s">
        <v>774</v>
      </c>
      <c r="AI70" t="s">
        <v>115</v>
      </c>
      <c r="AJ70" t="s">
        <v>485</v>
      </c>
      <c r="AN70" t="s">
        <v>486</v>
      </c>
      <c r="AP70" t="str">
        <f>"35"</f>
        <v>35</v>
      </c>
      <c r="AQ70" t="str">
        <f>"36"</f>
        <v>36</v>
      </c>
      <c r="AS70" t="str">
        <f>"0"</f>
        <v>0</v>
      </c>
      <c r="AT70" t="str">
        <f>"1"</f>
        <v>1</v>
      </c>
      <c r="BH70" t="s">
        <v>118</v>
      </c>
      <c r="BI70">
        <v>0</v>
      </c>
    </row>
    <row r="71" spans="1:93" x14ac:dyDescent="0.3">
      <c r="A71">
        <v>2779815</v>
      </c>
      <c r="B71">
        <v>1771880</v>
      </c>
      <c r="C71" t="str">
        <f>"910309450904"</f>
        <v>910309450904</v>
      </c>
      <c r="D71" t="s">
        <v>837</v>
      </c>
      <c r="E71" t="s">
        <v>134</v>
      </c>
      <c r="F71" t="s">
        <v>838</v>
      </c>
      <c r="G71" s="1">
        <v>33306</v>
      </c>
      <c r="I71" t="s">
        <v>106</v>
      </c>
      <c r="J71" t="s">
        <v>107</v>
      </c>
      <c r="K71" t="s">
        <v>108</v>
      </c>
      <c r="P71" t="s">
        <v>109</v>
      </c>
      <c r="Q71" t="s">
        <v>136</v>
      </c>
      <c r="W71" t="str">
        <f>"2022-11-01T00:00:00"</f>
        <v>2022-11-01T00:00:00</v>
      </c>
      <c r="X71" t="str">
        <f>"200"</f>
        <v>200</v>
      </c>
      <c r="Z71" t="s">
        <v>540</v>
      </c>
      <c r="AA71" t="s">
        <v>111</v>
      </c>
      <c r="AE71" t="s">
        <v>138</v>
      </c>
      <c r="AF71" t="s">
        <v>839</v>
      </c>
      <c r="AG71">
        <v>1.5</v>
      </c>
      <c r="AH71" t="s">
        <v>114</v>
      </c>
      <c r="AI71" t="s">
        <v>115</v>
      </c>
      <c r="AJ71" t="s">
        <v>485</v>
      </c>
      <c r="AN71" t="s">
        <v>486</v>
      </c>
      <c r="AP71" t="str">
        <f>"5"</f>
        <v>5</v>
      </c>
      <c r="AQ71" t="str">
        <f>"6"</f>
        <v>6</v>
      </c>
      <c r="AS71" t="str">
        <f>"0"</f>
        <v>0</v>
      </c>
      <c r="AT71" t="str">
        <f>"1"</f>
        <v>1</v>
      </c>
      <c r="BH71" t="s">
        <v>118</v>
      </c>
      <c r="BI71">
        <v>0</v>
      </c>
    </row>
    <row r="72" spans="1:93" x14ac:dyDescent="0.3">
      <c r="A72">
        <v>2779816</v>
      </c>
      <c r="B72">
        <v>165780</v>
      </c>
      <c r="C72" t="str">
        <f>"690412350167"</f>
        <v>690412350167</v>
      </c>
      <c r="D72" t="s">
        <v>840</v>
      </c>
      <c r="E72" t="s">
        <v>841</v>
      </c>
      <c r="F72" t="s">
        <v>842</v>
      </c>
      <c r="G72" s="1">
        <v>25305</v>
      </c>
      <c r="I72" t="s">
        <v>548</v>
      </c>
      <c r="J72" t="s">
        <v>107</v>
      </c>
      <c r="K72" t="s">
        <v>108</v>
      </c>
      <c r="P72" t="s">
        <v>843</v>
      </c>
      <c r="Q72" t="s">
        <v>136</v>
      </c>
      <c r="W72" t="str">
        <f>"2022-11-23T00:00:00"</f>
        <v>2022-11-23T00:00:00</v>
      </c>
      <c r="X72" t="str">
        <f>"222"</f>
        <v>222</v>
      </c>
      <c r="Z72" t="s">
        <v>540</v>
      </c>
      <c r="AA72" t="s">
        <v>111</v>
      </c>
      <c r="AE72" t="s">
        <v>138</v>
      </c>
      <c r="AF72" t="s">
        <v>844</v>
      </c>
      <c r="AG72">
        <v>1</v>
      </c>
      <c r="AH72" t="s">
        <v>114</v>
      </c>
      <c r="AI72" t="s">
        <v>115</v>
      </c>
      <c r="AJ72" t="s">
        <v>485</v>
      </c>
      <c r="AN72" t="s">
        <v>486</v>
      </c>
      <c r="AP72" t="str">
        <f>"33"</f>
        <v>33</v>
      </c>
      <c r="AQ72" t="str">
        <f>"34"</f>
        <v>34</v>
      </c>
      <c r="AS72" t="str">
        <f>"0"</f>
        <v>0</v>
      </c>
      <c r="AT72" t="str">
        <f>"1"</f>
        <v>1</v>
      </c>
      <c r="BH72" t="s">
        <v>118</v>
      </c>
      <c r="BI72">
        <v>0</v>
      </c>
    </row>
    <row r="73" spans="1:93" x14ac:dyDescent="0.3">
      <c r="A73">
        <v>2779817</v>
      </c>
      <c r="B73">
        <v>1771881</v>
      </c>
      <c r="C73" t="str">
        <f>"721024450660"</f>
        <v>721024450660</v>
      </c>
      <c r="D73" t="s">
        <v>225</v>
      </c>
      <c r="E73" t="s">
        <v>845</v>
      </c>
      <c r="F73" t="s">
        <v>846</v>
      </c>
      <c r="G73" s="1">
        <v>26596</v>
      </c>
      <c r="I73" t="s">
        <v>106</v>
      </c>
      <c r="J73" t="s">
        <v>107</v>
      </c>
      <c r="K73" t="s">
        <v>108</v>
      </c>
      <c r="P73" t="s">
        <v>109</v>
      </c>
      <c r="Q73" t="s">
        <v>136</v>
      </c>
      <c r="W73" t="str">
        <f>"2023-07-04T00:00:00"</f>
        <v>2023-07-04T00:00:00</v>
      </c>
      <c r="X73" t="str">
        <f>"165"</f>
        <v>165</v>
      </c>
      <c r="Z73" t="s">
        <v>540</v>
      </c>
      <c r="AA73" t="s">
        <v>111</v>
      </c>
      <c r="AE73" t="s">
        <v>138</v>
      </c>
      <c r="AF73" t="s">
        <v>484</v>
      </c>
      <c r="AG73">
        <v>1.5</v>
      </c>
      <c r="AH73" t="s">
        <v>114</v>
      </c>
      <c r="AI73" t="s">
        <v>115</v>
      </c>
      <c r="AJ73" t="s">
        <v>485</v>
      </c>
      <c r="AN73" t="s">
        <v>486</v>
      </c>
      <c r="AP73" t="str">
        <f>"35"</f>
        <v>35</v>
      </c>
      <c r="AQ73" t="str">
        <f>"35"</f>
        <v>35</v>
      </c>
      <c r="AS73" t="str">
        <f>"0"</f>
        <v>0</v>
      </c>
      <c r="AT73" t="str">
        <f t="shared" ref="AT73:AT102" si="6">"0"</f>
        <v>0</v>
      </c>
      <c r="BH73" t="s">
        <v>118</v>
      </c>
      <c r="BI73">
        <v>0</v>
      </c>
    </row>
    <row r="74" spans="1:93" hidden="1" x14ac:dyDescent="0.3">
      <c r="A74">
        <v>2779819</v>
      </c>
      <c r="B74">
        <v>154323</v>
      </c>
      <c r="C74" t="str">
        <f>"710210401202"</f>
        <v>710210401202</v>
      </c>
      <c r="D74" t="s">
        <v>847</v>
      </c>
      <c r="E74" t="s">
        <v>848</v>
      </c>
      <c r="F74" t="s">
        <v>849</v>
      </c>
      <c r="G74" s="1">
        <v>25974</v>
      </c>
      <c r="I74" t="s">
        <v>106</v>
      </c>
      <c r="J74" t="s">
        <v>107</v>
      </c>
      <c r="K74" t="s">
        <v>108</v>
      </c>
      <c r="P74" t="s">
        <v>109</v>
      </c>
      <c r="Q74" t="s">
        <v>136</v>
      </c>
      <c r="W74" t="str">
        <f>"2023-08-16T00:00:00"</f>
        <v>2023-08-16T00:00:00</v>
      </c>
      <c r="X74" t="str">
        <f>"197"</f>
        <v>197</v>
      </c>
      <c r="Z74" t="s">
        <v>396</v>
      </c>
      <c r="AA74" t="s">
        <v>111</v>
      </c>
      <c r="AE74" t="s">
        <v>138</v>
      </c>
      <c r="AF74" t="s">
        <v>113</v>
      </c>
      <c r="AG74">
        <v>1.5</v>
      </c>
      <c r="AH74" t="s">
        <v>114</v>
      </c>
      <c r="AI74" t="s">
        <v>115</v>
      </c>
      <c r="AJ74" t="s">
        <v>116</v>
      </c>
      <c r="AK74" t="s">
        <v>136</v>
      </c>
      <c r="AN74" t="s">
        <v>117</v>
      </c>
      <c r="AO74" t="s">
        <v>118</v>
      </c>
      <c r="AP74" t="str">
        <f>"31"</f>
        <v>31</v>
      </c>
      <c r="AQ74" t="str">
        <f>"31"</f>
        <v>31</v>
      </c>
      <c r="AR74" t="str">
        <f>"31"</f>
        <v>31</v>
      </c>
      <c r="AS74" t="str">
        <f>"31"</f>
        <v>31</v>
      </c>
      <c r="AT74" t="str">
        <f t="shared" si="6"/>
        <v>0</v>
      </c>
      <c r="AU74" t="str">
        <f>"saule.akylbekova.71@mail.ru"</f>
        <v>saule.akylbekova.71@mail.ru</v>
      </c>
      <c r="AV74" t="str">
        <f>"87712975122"</f>
        <v>87712975122</v>
      </c>
      <c r="AW74" t="s">
        <v>139</v>
      </c>
      <c r="AX74" t="s">
        <v>423</v>
      </c>
      <c r="AY74" t="s">
        <v>210</v>
      </c>
      <c r="AZ74" t="s">
        <v>189</v>
      </c>
      <c r="BD74" t="s">
        <v>141</v>
      </c>
      <c r="BE74" t="s">
        <v>122</v>
      </c>
      <c r="BF74">
        <v>1.5</v>
      </c>
      <c r="BG74" t="str">
        <f>"[24]"</f>
        <v>[24]</v>
      </c>
      <c r="BH74" t="s">
        <v>850</v>
      </c>
      <c r="BI74">
        <v>0.7</v>
      </c>
      <c r="BJ74" t="s">
        <v>119</v>
      </c>
      <c r="BL74" t="s">
        <v>171</v>
      </c>
      <c r="BM74">
        <v>0</v>
      </c>
      <c r="BN74" t="s">
        <v>161</v>
      </c>
      <c r="BR74" t="s">
        <v>131</v>
      </c>
      <c r="BU74" t="s">
        <v>851</v>
      </c>
      <c r="BV74" t="s">
        <v>852</v>
      </c>
      <c r="BW74" t="s">
        <v>853</v>
      </c>
      <c r="BX74" t="s">
        <v>412</v>
      </c>
      <c r="BY74" t="s">
        <v>195</v>
      </c>
      <c r="BZ74" t="s">
        <v>854</v>
      </c>
      <c r="CA74" t="s">
        <v>855</v>
      </c>
      <c r="CB74" t="s">
        <v>856</v>
      </c>
      <c r="CC74" t="s">
        <v>857</v>
      </c>
      <c r="CD74" t="s">
        <v>171</v>
      </c>
      <c r="CE74" t="s">
        <v>858</v>
      </c>
      <c r="CF74" t="s">
        <v>153</v>
      </c>
      <c r="CI74" t="str">
        <f>"0"</f>
        <v>0</v>
      </c>
      <c r="CL74" t="s">
        <v>136</v>
      </c>
      <c r="CN74" t="s">
        <v>132</v>
      </c>
      <c r="CO74" t="s">
        <v>118</v>
      </c>
    </row>
    <row r="75" spans="1:93" x14ac:dyDescent="0.3">
      <c r="A75">
        <v>2779899</v>
      </c>
      <c r="B75">
        <v>154556</v>
      </c>
      <c r="C75" t="str">
        <f>"661203450085"</f>
        <v>661203450085</v>
      </c>
      <c r="D75" t="s">
        <v>859</v>
      </c>
      <c r="E75" t="s">
        <v>258</v>
      </c>
      <c r="F75" t="s">
        <v>860</v>
      </c>
      <c r="G75" s="1">
        <v>24444</v>
      </c>
      <c r="I75" t="s">
        <v>106</v>
      </c>
      <c r="J75" t="s">
        <v>107</v>
      </c>
      <c r="K75" t="s">
        <v>108</v>
      </c>
      <c r="P75" t="s">
        <v>109</v>
      </c>
      <c r="Q75" t="s">
        <v>136</v>
      </c>
      <c r="W75" t="str">
        <f>"2023-08-01T00:00:00"</f>
        <v>2023-08-01T00:00:00</v>
      </c>
      <c r="X75" t="str">
        <f>"180"</f>
        <v>180</v>
      </c>
      <c r="Z75" t="s">
        <v>540</v>
      </c>
      <c r="AA75" t="s">
        <v>111</v>
      </c>
      <c r="AE75" t="s">
        <v>138</v>
      </c>
      <c r="AF75" t="s">
        <v>585</v>
      </c>
      <c r="AG75">
        <v>1</v>
      </c>
      <c r="AH75" t="s">
        <v>114</v>
      </c>
      <c r="AI75" t="s">
        <v>115</v>
      </c>
      <c r="AJ75" t="s">
        <v>490</v>
      </c>
      <c r="AN75" t="s">
        <v>486</v>
      </c>
      <c r="AP75" t="str">
        <f>"38"</f>
        <v>38</v>
      </c>
      <c r="AQ75" t="str">
        <f>"38"</f>
        <v>38</v>
      </c>
      <c r="AS75" t="str">
        <f>"0"</f>
        <v>0</v>
      </c>
      <c r="AT75" t="str">
        <f t="shared" si="6"/>
        <v>0</v>
      </c>
      <c r="BH75" t="s">
        <v>118</v>
      </c>
      <c r="BI75">
        <v>0</v>
      </c>
    </row>
    <row r="76" spans="1:93" x14ac:dyDescent="0.3">
      <c r="A76">
        <v>2878766</v>
      </c>
      <c r="B76">
        <v>1692808</v>
      </c>
      <c r="C76" t="str">
        <f>"821025450954"</f>
        <v>821025450954</v>
      </c>
      <c r="D76" t="s">
        <v>861</v>
      </c>
      <c r="E76" t="s">
        <v>155</v>
      </c>
      <c r="F76" t="s">
        <v>862</v>
      </c>
      <c r="G76" s="1">
        <v>30249</v>
      </c>
      <c r="I76" t="s">
        <v>106</v>
      </c>
      <c r="J76" t="s">
        <v>107</v>
      </c>
      <c r="K76" t="s">
        <v>108</v>
      </c>
      <c r="P76" t="s">
        <v>109</v>
      </c>
      <c r="Q76" t="s">
        <v>136</v>
      </c>
      <c r="W76" t="str">
        <f>"2023-07-17T00:00:00"</f>
        <v>2023-07-17T00:00:00</v>
      </c>
      <c r="X76" t="str">
        <f>"172"</f>
        <v>172</v>
      </c>
      <c r="Z76" t="s">
        <v>110</v>
      </c>
      <c r="AA76" t="s">
        <v>772</v>
      </c>
      <c r="AE76" t="s">
        <v>138</v>
      </c>
      <c r="AF76" t="s">
        <v>863</v>
      </c>
      <c r="AG76">
        <v>1</v>
      </c>
      <c r="AH76" t="s">
        <v>774</v>
      </c>
      <c r="AI76" t="s">
        <v>115</v>
      </c>
      <c r="AJ76" t="s">
        <v>775</v>
      </c>
      <c r="AN76" t="s">
        <v>486</v>
      </c>
      <c r="AP76" t="str">
        <f>"18"</f>
        <v>18</v>
      </c>
      <c r="AQ76" t="str">
        <f>"18"</f>
        <v>18</v>
      </c>
      <c r="AS76" t="str">
        <f>"0"</f>
        <v>0</v>
      </c>
      <c r="AT76" t="str">
        <f t="shared" si="6"/>
        <v>0</v>
      </c>
      <c r="BH76" t="s">
        <v>864</v>
      </c>
      <c r="BI76">
        <v>0.5</v>
      </c>
    </row>
    <row r="77" spans="1:93" hidden="1" x14ac:dyDescent="0.3">
      <c r="A77">
        <v>2878772</v>
      </c>
      <c r="B77">
        <v>141525</v>
      </c>
      <c r="C77" t="str">
        <f>"731028401547"</f>
        <v>731028401547</v>
      </c>
      <c r="D77" t="s">
        <v>865</v>
      </c>
      <c r="E77" t="s">
        <v>866</v>
      </c>
      <c r="F77" t="s">
        <v>867</v>
      </c>
      <c r="G77" s="1">
        <v>26965</v>
      </c>
      <c r="I77" t="s">
        <v>106</v>
      </c>
      <c r="J77" t="s">
        <v>107</v>
      </c>
      <c r="K77" t="s">
        <v>108</v>
      </c>
      <c r="P77" t="s">
        <v>109</v>
      </c>
      <c r="Q77" t="s">
        <v>136</v>
      </c>
      <c r="W77" t="str">
        <f t="shared" ref="W77:W85" si="7">"2023-09-01T00:00:00"</f>
        <v>2023-09-01T00:00:00</v>
      </c>
      <c r="X77" t="str">
        <f t="shared" ref="X77:X82" si="8">"1"</f>
        <v>1</v>
      </c>
      <c r="Z77" t="s">
        <v>110</v>
      </c>
      <c r="AA77" t="s">
        <v>772</v>
      </c>
      <c r="AE77" t="s">
        <v>138</v>
      </c>
      <c r="AF77" t="s">
        <v>207</v>
      </c>
      <c r="AG77">
        <v>1.2</v>
      </c>
      <c r="AH77" t="s">
        <v>774</v>
      </c>
      <c r="AI77" t="s">
        <v>229</v>
      </c>
      <c r="AJ77" t="s">
        <v>230</v>
      </c>
      <c r="AN77" t="s">
        <v>117</v>
      </c>
      <c r="AO77" t="s">
        <v>118</v>
      </c>
      <c r="AP77" t="str">
        <f>"31"</f>
        <v>31</v>
      </c>
      <c r="AQ77" t="str">
        <f>"31"</f>
        <v>31</v>
      </c>
      <c r="AR77" t="str">
        <f>"31"</f>
        <v>31</v>
      </c>
      <c r="AS77" t="str">
        <f>"31"</f>
        <v>31</v>
      </c>
      <c r="AT77" t="str">
        <f t="shared" si="6"/>
        <v>0</v>
      </c>
      <c r="AU77" t="str">
        <f>"amarkulova777@mail.ru"</f>
        <v>amarkulova777@mail.ru</v>
      </c>
      <c r="AV77" t="str">
        <f>"87713725987"</f>
        <v>87713725987</v>
      </c>
      <c r="AW77" t="s">
        <v>231</v>
      </c>
      <c r="AX77" t="s">
        <v>423</v>
      </c>
      <c r="AZ77" t="s">
        <v>189</v>
      </c>
      <c r="BD77" t="s">
        <v>212</v>
      </c>
      <c r="BE77" t="s">
        <v>122</v>
      </c>
      <c r="BF77">
        <v>1.2</v>
      </c>
      <c r="BG77" t="str">
        <f>"[19]"</f>
        <v>[19]</v>
      </c>
      <c r="BH77" t="s">
        <v>118</v>
      </c>
      <c r="BI77">
        <v>0</v>
      </c>
      <c r="BN77" t="s">
        <v>142</v>
      </c>
      <c r="BR77" t="s">
        <v>131</v>
      </c>
      <c r="BU77" t="s">
        <v>143</v>
      </c>
      <c r="BV77" t="s">
        <v>868</v>
      </c>
      <c r="BW77" t="s">
        <v>869</v>
      </c>
      <c r="BX77" t="s">
        <v>870</v>
      </c>
      <c r="BY77" t="s">
        <v>147</v>
      </c>
      <c r="BZ77" t="s">
        <v>871</v>
      </c>
      <c r="CA77" t="s">
        <v>872</v>
      </c>
      <c r="CB77" t="s">
        <v>873</v>
      </c>
      <c r="CC77" t="s">
        <v>874</v>
      </c>
      <c r="CD77" t="s">
        <v>171</v>
      </c>
      <c r="CE77" t="s">
        <v>384</v>
      </c>
      <c r="CF77" s="2">
        <v>45383</v>
      </c>
      <c r="CI77" t="str">
        <f>"0"</f>
        <v>0</v>
      </c>
      <c r="CL77" t="s">
        <v>131</v>
      </c>
      <c r="CN77" t="s">
        <v>132</v>
      </c>
      <c r="CO77" t="s">
        <v>185</v>
      </c>
    </row>
    <row r="78" spans="1:93" hidden="1" x14ac:dyDescent="0.3">
      <c r="A78">
        <v>2878774</v>
      </c>
      <c r="B78">
        <v>157750</v>
      </c>
      <c r="C78" t="str">
        <f>"520710300018"</f>
        <v>520710300018</v>
      </c>
      <c r="D78" t="s">
        <v>875</v>
      </c>
      <c r="E78" t="s">
        <v>876</v>
      </c>
      <c r="F78" t="s">
        <v>877</v>
      </c>
      <c r="G78" s="1">
        <v>19185</v>
      </c>
      <c r="I78" t="s">
        <v>548</v>
      </c>
      <c r="J78" t="s">
        <v>107</v>
      </c>
      <c r="K78" t="s">
        <v>108</v>
      </c>
      <c r="P78" t="s">
        <v>109</v>
      </c>
      <c r="Q78" t="s">
        <v>136</v>
      </c>
      <c r="W78" t="str">
        <f t="shared" si="7"/>
        <v>2023-09-01T00:00:00</v>
      </c>
      <c r="X78" t="str">
        <f t="shared" si="8"/>
        <v>1</v>
      </c>
      <c r="Z78" t="s">
        <v>110</v>
      </c>
      <c r="AA78" t="s">
        <v>772</v>
      </c>
      <c r="AE78" t="s">
        <v>138</v>
      </c>
      <c r="AF78" t="s">
        <v>113</v>
      </c>
      <c r="AG78">
        <v>0.1</v>
      </c>
      <c r="AH78" t="s">
        <v>774</v>
      </c>
      <c r="AI78" t="s">
        <v>115</v>
      </c>
      <c r="AJ78" t="s">
        <v>116</v>
      </c>
      <c r="AN78" t="s">
        <v>117</v>
      </c>
      <c r="AO78" t="s">
        <v>118</v>
      </c>
      <c r="AP78" t="str">
        <f>"25"</f>
        <v>25</v>
      </c>
      <c r="AQ78" t="str">
        <f>"25"</f>
        <v>25</v>
      </c>
      <c r="AR78" t="str">
        <f>"25"</f>
        <v>25</v>
      </c>
      <c r="AS78" t="str">
        <f>"25"</f>
        <v>25</v>
      </c>
      <c r="AT78" t="str">
        <f t="shared" si="6"/>
        <v>0</v>
      </c>
      <c r="AU78" t="str">
        <f>"duk_2006@mail.ru"</f>
        <v>duk_2006@mail.ru</v>
      </c>
      <c r="AV78" t="str">
        <f>"87015337243"</f>
        <v>87015337243</v>
      </c>
      <c r="AW78" t="s">
        <v>119</v>
      </c>
      <c r="AZ78" t="s">
        <v>120</v>
      </c>
      <c r="BD78" t="s">
        <v>553</v>
      </c>
      <c r="BE78" t="s">
        <v>122</v>
      </c>
      <c r="BF78">
        <v>0.1</v>
      </c>
      <c r="BG78" t="str">
        <f>"[2]"</f>
        <v>[2]</v>
      </c>
      <c r="BH78" t="s">
        <v>118</v>
      </c>
      <c r="BI78">
        <v>0</v>
      </c>
      <c r="BN78" t="s">
        <v>142</v>
      </c>
      <c r="BR78" t="s">
        <v>131</v>
      </c>
      <c r="BU78" t="s">
        <v>588</v>
      </c>
      <c r="CD78" t="s">
        <v>171</v>
      </c>
      <c r="CE78" t="s">
        <v>878</v>
      </c>
      <c r="CF78" t="s">
        <v>153</v>
      </c>
      <c r="CI78" t="str">
        <f>"0"</f>
        <v>0</v>
      </c>
      <c r="CL78" t="s">
        <v>136</v>
      </c>
      <c r="CN78" t="s">
        <v>132</v>
      </c>
      <c r="CO78" t="s">
        <v>118</v>
      </c>
    </row>
    <row r="79" spans="1:93" hidden="1" x14ac:dyDescent="0.3">
      <c r="A79">
        <v>2878775</v>
      </c>
      <c r="B79">
        <v>1316009</v>
      </c>
      <c r="C79" t="str">
        <f>"971106450855"</f>
        <v>971106450855</v>
      </c>
      <c r="D79" t="s">
        <v>879</v>
      </c>
      <c r="E79" t="s">
        <v>104</v>
      </c>
      <c r="F79" t="s">
        <v>880</v>
      </c>
      <c r="G79" s="1">
        <v>35740</v>
      </c>
      <c r="I79" t="s">
        <v>106</v>
      </c>
      <c r="J79" t="s">
        <v>107</v>
      </c>
      <c r="K79" t="s">
        <v>108</v>
      </c>
      <c r="P79" t="s">
        <v>109</v>
      </c>
      <c r="Q79" t="s">
        <v>136</v>
      </c>
      <c r="W79" t="str">
        <f t="shared" si="7"/>
        <v>2023-09-01T00:00:00</v>
      </c>
      <c r="X79" t="str">
        <f t="shared" si="8"/>
        <v>1</v>
      </c>
      <c r="Z79" t="s">
        <v>110</v>
      </c>
      <c r="AA79" t="s">
        <v>772</v>
      </c>
      <c r="AE79" t="s">
        <v>138</v>
      </c>
      <c r="AF79" t="s">
        <v>113</v>
      </c>
      <c r="AG79">
        <v>0.4</v>
      </c>
      <c r="AH79" t="s">
        <v>774</v>
      </c>
      <c r="AI79" t="s">
        <v>115</v>
      </c>
      <c r="AJ79" t="s">
        <v>116</v>
      </c>
      <c r="AN79" t="s">
        <v>117</v>
      </c>
      <c r="AO79" t="s">
        <v>118</v>
      </c>
      <c r="AP79" t="str">
        <f>"4"</f>
        <v>4</v>
      </c>
      <c r="AQ79" t="str">
        <f>"4"</f>
        <v>4</v>
      </c>
      <c r="AR79" t="str">
        <f>"4"</f>
        <v>4</v>
      </c>
      <c r="AS79" t="str">
        <f>"4"</f>
        <v>4</v>
      </c>
      <c r="AT79" t="str">
        <f t="shared" si="6"/>
        <v>0</v>
      </c>
      <c r="AU79" t="str">
        <f>"akmaral_19.97@mail.ru"</f>
        <v>akmaral_19.97@mail.ru</v>
      </c>
      <c r="AV79" t="str">
        <f>"87781218792"</f>
        <v>87781218792</v>
      </c>
      <c r="AW79" t="s">
        <v>119</v>
      </c>
      <c r="AZ79" t="s">
        <v>189</v>
      </c>
      <c r="BD79" t="s">
        <v>593</v>
      </c>
      <c r="BE79" t="s">
        <v>122</v>
      </c>
      <c r="BF79">
        <v>0.4</v>
      </c>
      <c r="BG79" t="str">
        <f>"[6]"</f>
        <v>[6]</v>
      </c>
      <c r="BH79" t="s">
        <v>118</v>
      </c>
      <c r="BI79">
        <v>0</v>
      </c>
      <c r="BN79" t="s">
        <v>142</v>
      </c>
      <c r="BR79" t="s">
        <v>131</v>
      </c>
      <c r="BU79" t="s">
        <v>123</v>
      </c>
      <c r="BV79" t="s">
        <v>593</v>
      </c>
      <c r="BW79" t="s">
        <v>881</v>
      </c>
      <c r="BX79" t="s">
        <v>125</v>
      </c>
      <c r="BY79" t="s">
        <v>126</v>
      </c>
      <c r="BZ79">
        <v>80</v>
      </c>
      <c r="CA79" t="s">
        <v>882</v>
      </c>
      <c r="CB79" t="s">
        <v>883</v>
      </c>
      <c r="CC79">
        <v>11</v>
      </c>
      <c r="CD79" t="s">
        <v>593</v>
      </c>
      <c r="CE79" t="s">
        <v>884</v>
      </c>
      <c r="CF79" t="s">
        <v>153</v>
      </c>
      <c r="CI79" t="str">
        <f>"0"</f>
        <v>0</v>
      </c>
      <c r="CL79" t="s">
        <v>136</v>
      </c>
      <c r="CN79" t="s">
        <v>132</v>
      </c>
      <c r="CO79" t="s">
        <v>118</v>
      </c>
    </row>
    <row r="80" spans="1:93" hidden="1" x14ac:dyDescent="0.3">
      <c r="A80">
        <v>2878777</v>
      </c>
      <c r="B80">
        <v>155001</v>
      </c>
      <c r="C80" t="str">
        <f>"701213401100"</f>
        <v>701213401100</v>
      </c>
      <c r="D80" t="s">
        <v>885</v>
      </c>
      <c r="E80" t="s">
        <v>886</v>
      </c>
      <c r="F80" t="s">
        <v>887</v>
      </c>
      <c r="G80" s="1">
        <v>25915</v>
      </c>
      <c r="I80" t="s">
        <v>106</v>
      </c>
      <c r="J80" t="s">
        <v>107</v>
      </c>
      <c r="K80" t="s">
        <v>108</v>
      </c>
      <c r="P80" t="s">
        <v>109</v>
      </c>
      <c r="Q80" t="s">
        <v>136</v>
      </c>
      <c r="W80" t="str">
        <f t="shared" si="7"/>
        <v>2023-09-01T00:00:00</v>
      </c>
      <c r="X80" t="str">
        <f t="shared" si="8"/>
        <v>1</v>
      </c>
      <c r="Z80" t="s">
        <v>110</v>
      </c>
      <c r="AA80" t="s">
        <v>772</v>
      </c>
      <c r="AE80" t="s">
        <v>138</v>
      </c>
      <c r="AF80" t="s">
        <v>113</v>
      </c>
      <c r="AG80">
        <v>0.9</v>
      </c>
      <c r="AH80" t="s">
        <v>774</v>
      </c>
      <c r="AI80" t="s">
        <v>115</v>
      </c>
      <c r="AJ80" t="s">
        <v>116</v>
      </c>
      <c r="AN80" t="s">
        <v>117</v>
      </c>
      <c r="AO80" t="s">
        <v>118</v>
      </c>
      <c r="AP80" t="str">
        <f>"30"</f>
        <v>30</v>
      </c>
      <c r="AQ80" t="str">
        <f>"30"</f>
        <v>30</v>
      </c>
      <c r="AR80" t="str">
        <f>"30"</f>
        <v>30</v>
      </c>
      <c r="AS80" t="str">
        <f>"30"</f>
        <v>30</v>
      </c>
      <c r="AT80" t="str">
        <f t="shared" si="6"/>
        <v>0</v>
      </c>
      <c r="AU80" t="str">
        <f>"gulya.kairkenova@mail.ru"</f>
        <v>gulya.kairkenova@mail.ru</v>
      </c>
      <c r="AV80" t="str">
        <f>"87716673933"</f>
        <v>87716673933</v>
      </c>
      <c r="AW80" t="s">
        <v>231</v>
      </c>
      <c r="AX80" t="s">
        <v>232</v>
      </c>
      <c r="AZ80" t="s">
        <v>211</v>
      </c>
      <c r="BD80" t="s">
        <v>320</v>
      </c>
      <c r="BE80" t="s">
        <v>122</v>
      </c>
      <c r="BF80">
        <v>0.9</v>
      </c>
      <c r="BG80" t="str">
        <f>"[15]"</f>
        <v>[15]</v>
      </c>
      <c r="BH80" t="s">
        <v>118</v>
      </c>
      <c r="BI80">
        <v>0</v>
      </c>
      <c r="BN80" t="s">
        <v>142</v>
      </c>
      <c r="BR80" t="s">
        <v>131</v>
      </c>
      <c r="BU80" t="s">
        <v>888</v>
      </c>
      <c r="BV80" t="s">
        <v>889</v>
      </c>
      <c r="BW80" t="s">
        <v>890</v>
      </c>
      <c r="BX80" t="s">
        <v>891</v>
      </c>
      <c r="BY80" t="s">
        <v>464</v>
      </c>
      <c r="BZ80" t="s">
        <v>892</v>
      </c>
      <c r="CA80" t="s">
        <v>893</v>
      </c>
      <c r="CB80" t="s">
        <v>894</v>
      </c>
      <c r="CC80" t="s">
        <v>895</v>
      </c>
      <c r="CD80" t="s">
        <v>171</v>
      </c>
      <c r="CE80" t="s">
        <v>896</v>
      </c>
      <c r="CF80" t="s">
        <v>153</v>
      </c>
      <c r="CI80" t="str">
        <f>"0"</f>
        <v>0</v>
      </c>
      <c r="CL80" t="s">
        <v>136</v>
      </c>
      <c r="CN80" t="s">
        <v>132</v>
      </c>
      <c r="CO80" t="s">
        <v>118</v>
      </c>
    </row>
    <row r="81" spans="1:93" hidden="1" x14ac:dyDescent="0.3">
      <c r="A81">
        <v>2878780</v>
      </c>
      <c r="B81">
        <v>142575</v>
      </c>
      <c r="C81" t="str">
        <f>"940123450542"</f>
        <v>940123450542</v>
      </c>
      <c r="D81" t="s">
        <v>776</v>
      </c>
      <c r="E81" t="s">
        <v>897</v>
      </c>
      <c r="F81" t="s">
        <v>898</v>
      </c>
      <c r="G81" s="1">
        <v>34357</v>
      </c>
      <c r="I81" t="s">
        <v>106</v>
      </c>
      <c r="J81" t="s">
        <v>107</v>
      </c>
      <c r="K81" t="s">
        <v>108</v>
      </c>
      <c r="P81" t="s">
        <v>109</v>
      </c>
      <c r="Q81" t="s">
        <v>136</v>
      </c>
      <c r="W81" t="str">
        <f t="shared" si="7"/>
        <v>2023-09-01T00:00:00</v>
      </c>
      <c r="X81" t="str">
        <f t="shared" si="8"/>
        <v>1</v>
      </c>
      <c r="Z81" t="s">
        <v>110</v>
      </c>
      <c r="AA81" t="s">
        <v>772</v>
      </c>
      <c r="AE81" t="s">
        <v>138</v>
      </c>
      <c r="AF81" t="s">
        <v>113</v>
      </c>
      <c r="AG81">
        <v>0.6</v>
      </c>
      <c r="AH81" t="s">
        <v>774</v>
      </c>
      <c r="AI81" t="s">
        <v>115</v>
      </c>
      <c r="AJ81" t="s">
        <v>208</v>
      </c>
      <c r="AN81" t="s">
        <v>117</v>
      </c>
      <c r="AO81" t="s">
        <v>118</v>
      </c>
      <c r="AP81" t="str">
        <f>"10"</f>
        <v>10</v>
      </c>
      <c r="AQ81" t="str">
        <f>"10"</f>
        <v>10</v>
      </c>
      <c r="AR81" t="str">
        <f>"10"</f>
        <v>10</v>
      </c>
      <c r="AS81" t="str">
        <f>"10"</f>
        <v>10</v>
      </c>
      <c r="AT81" t="str">
        <f t="shared" si="6"/>
        <v>0</v>
      </c>
      <c r="AU81" t="str">
        <f>"anarka94.vip@mail.ru"</f>
        <v>anarka94.vip@mail.ru</v>
      </c>
      <c r="AV81" t="str">
        <f>"87055838312"</f>
        <v>87055838312</v>
      </c>
      <c r="AW81" t="s">
        <v>159</v>
      </c>
      <c r="AX81" t="s">
        <v>232</v>
      </c>
      <c r="AZ81" t="s">
        <v>211</v>
      </c>
      <c r="BD81" t="s">
        <v>567</v>
      </c>
      <c r="BE81" t="s">
        <v>213</v>
      </c>
      <c r="BF81">
        <v>0.6</v>
      </c>
      <c r="BG81" t="str">
        <f>"[10]"</f>
        <v>[10]</v>
      </c>
      <c r="BH81" t="s">
        <v>118</v>
      </c>
      <c r="BI81">
        <v>0</v>
      </c>
      <c r="BN81" t="s">
        <v>142</v>
      </c>
      <c r="BR81" t="s">
        <v>131</v>
      </c>
      <c r="BU81" t="s">
        <v>143</v>
      </c>
      <c r="BV81" t="s">
        <v>899</v>
      </c>
      <c r="BW81" t="s">
        <v>900</v>
      </c>
      <c r="BX81" t="s">
        <v>146</v>
      </c>
      <c r="BY81" t="s">
        <v>346</v>
      </c>
      <c r="BZ81" t="s">
        <v>901</v>
      </c>
      <c r="CA81" t="s">
        <v>902</v>
      </c>
      <c r="CB81" t="s">
        <v>903</v>
      </c>
      <c r="CC81" t="s">
        <v>904</v>
      </c>
      <c r="CD81" t="s">
        <v>171</v>
      </c>
      <c r="CE81" t="s">
        <v>905</v>
      </c>
      <c r="CF81" s="2">
        <v>45383</v>
      </c>
      <c r="CI81" t="str">
        <f>"0"</f>
        <v>0</v>
      </c>
      <c r="CL81" t="s">
        <v>136</v>
      </c>
      <c r="CN81" t="s">
        <v>132</v>
      </c>
      <c r="CO81" t="s">
        <v>118</v>
      </c>
    </row>
    <row r="82" spans="1:93" hidden="1" x14ac:dyDescent="0.3">
      <c r="A82">
        <v>2878781</v>
      </c>
      <c r="B82">
        <v>153285</v>
      </c>
      <c r="C82" t="str">
        <f>"841126451192"</f>
        <v>841126451192</v>
      </c>
      <c r="D82" t="s">
        <v>906</v>
      </c>
      <c r="E82" t="s">
        <v>907</v>
      </c>
      <c r="F82" t="s">
        <v>908</v>
      </c>
      <c r="G82" s="1">
        <v>31012</v>
      </c>
      <c r="I82" t="s">
        <v>106</v>
      </c>
      <c r="J82" t="s">
        <v>107</v>
      </c>
      <c r="K82" t="s">
        <v>108</v>
      </c>
      <c r="P82" t="s">
        <v>109</v>
      </c>
      <c r="Q82" t="s">
        <v>136</v>
      </c>
      <c r="W82" t="str">
        <f t="shared" si="7"/>
        <v>2023-09-01T00:00:00</v>
      </c>
      <c r="X82" t="str">
        <f t="shared" si="8"/>
        <v>1</v>
      </c>
      <c r="Z82" t="s">
        <v>110</v>
      </c>
      <c r="AA82" t="s">
        <v>772</v>
      </c>
      <c r="AE82" t="s">
        <v>138</v>
      </c>
      <c r="AF82" t="s">
        <v>643</v>
      </c>
      <c r="AG82">
        <v>0.5</v>
      </c>
      <c r="AH82" t="s">
        <v>774</v>
      </c>
      <c r="AI82" t="s">
        <v>229</v>
      </c>
      <c r="AJ82" t="s">
        <v>230</v>
      </c>
      <c r="AN82" t="s">
        <v>117</v>
      </c>
      <c r="AO82" t="s">
        <v>158</v>
      </c>
      <c r="AP82" t="str">
        <f>"9"</f>
        <v>9</v>
      </c>
      <c r="AQ82" t="str">
        <f>"9"</f>
        <v>9</v>
      </c>
      <c r="AR82" t="str">
        <f>"9"</f>
        <v>9</v>
      </c>
      <c r="AS82" t="str">
        <f>"9"</f>
        <v>9</v>
      </c>
      <c r="AT82" t="str">
        <f t="shared" si="6"/>
        <v>0</v>
      </c>
      <c r="AU82" t="str">
        <f>"semushka_.85@mail.ru"</f>
        <v>semushka_.85@mail.ru</v>
      </c>
      <c r="AV82" t="str">
        <f>"87715368005"</f>
        <v>87715368005</v>
      </c>
      <c r="AW82" t="s">
        <v>139</v>
      </c>
      <c r="AX82" t="s">
        <v>909</v>
      </c>
      <c r="AZ82" t="s">
        <v>120</v>
      </c>
      <c r="BH82" t="s">
        <v>118</v>
      </c>
      <c r="BI82">
        <v>0</v>
      </c>
      <c r="BN82" t="s">
        <v>142</v>
      </c>
      <c r="BR82" t="s">
        <v>131</v>
      </c>
      <c r="BU82" t="s">
        <v>289</v>
      </c>
      <c r="BV82" t="s">
        <v>910</v>
      </c>
      <c r="BW82" t="s">
        <v>911</v>
      </c>
      <c r="BX82" t="s">
        <v>912</v>
      </c>
      <c r="BY82" t="s">
        <v>293</v>
      </c>
      <c r="BZ82" t="s">
        <v>913</v>
      </c>
      <c r="CA82" t="s">
        <v>914</v>
      </c>
      <c r="CB82" t="s">
        <v>915</v>
      </c>
      <c r="CC82" t="s">
        <v>916</v>
      </c>
      <c r="CD82" t="s">
        <v>171</v>
      </c>
      <c r="CL82" t="s">
        <v>136</v>
      </c>
      <c r="CN82" t="s">
        <v>132</v>
      </c>
      <c r="CO82" t="s">
        <v>917</v>
      </c>
    </row>
    <row r="83" spans="1:93" hidden="1" x14ac:dyDescent="0.3">
      <c r="A83">
        <v>2878794</v>
      </c>
      <c r="B83">
        <v>1781465</v>
      </c>
      <c r="C83" t="str">
        <f>"000211601113"</f>
        <v>000211601113</v>
      </c>
      <c r="D83" t="s">
        <v>918</v>
      </c>
      <c r="E83" t="s">
        <v>919</v>
      </c>
      <c r="F83" t="s">
        <v>920</v>
      </c>
      <c r="G83" s="1">
        <v>36567</v>
      </c>
      <c r="I83" t="s">
        <v>106</v>
      </c>
      <c r="J83" t="s">
        <v>107</v>
      </c>
      <c r="K83" t="s">
        <v>108</v>
      </c>
      <c r="P83" t="s">
        <v>109</v>
      </c>
      <c r="Q83" t="s">
        <v>136</v>
      </c>
      <c r="W83" t="str">
        <f t="shared" si="7"/>
        <v>2023-09-01T00:00:00</v>
      </c>
      <c r="X83" t="str">
        <f>"214"</f>
        <v>214</v>
      </c>
      <c r="Z83" t="s">
        <v>175</v>
      </c>
      <c r="AA83" t="s">
        <v>111</v>
      </c>
      <c r="AE83" t="s">
        <v>138</v>
      </c>
      <c r="AF83" t="s">
        <v>113</v>
      </c>
      <c r="AG83">
        <v>1</v>
      </c>
      <c r="AH83" t="s">
        <v>114</v>
      </c>
      <c r="AI83" t="s">
        <v>229</v>
      </c>
      <c r="AJ83" t="s">
        <v>230</v>
      </c>
      <c r="AN83" t="s">
        <v>117</v>
      </c>
      <c r="AO83" t="s">
        <v>118</v>
      </c>
      <c r="AP83" t="str">
        <f>"0"</f>
        <v>0</v>
      </c>
      <c r="AQ83" t="str">
        <f>"0"</f>
        <v>0</v>
      </c>
      <c r="AR83" t="str">
        <f>"0"</f>
        <v>0</v>
      </c>
      <c r="AS83" t="str">
        <f>"0"</f>
        <v>0</v>
      </c>
      <c r="AT83" t="str">
        <f t="shared" si="6"/>
        <v>0</v>
      </c>
      <c r="AU83" t="str">
        <f>"guldana.0036@gmail.com"</f>
        <v>guldana.0036@gmail.com</v>
      </c>
      <c r="AV83" t="str">
        <f>"87058572977"</f>
        <v>87058572977</v>
      </c>
      <c r="AW83" t="s">
        <v>119</v>
      </c>
      <c r="AZ83" t="s">
        <v>189</v>
      </c>
      <c r="BD83" t="s">
        <v>121</v>
      </c>
      <c r="BE83" t="s">
        <v>122</v>
      </c>
      <c r="BF83">
        <v>1</v>
      </c>
      <c r="BG83" t="str">
        <f>"[16]"</f>
        <v>[16]</v>
      </c>
      <c r="BH83" t="s">
        <v>118</v>
      </c>
      <c r="BI83">
        <v>0</v>
      </c>
      <c r="BN83" t="s">
        <v>142</v>
      </c>
      <c r="BR83" t="s">
        <v>131</v>
      </c>
      <c r="BU83" t="s">
        <v>707</v>
      </c>
      <c r="BV83" t="s">
        <v>593</v>
      </c>
      <c r="BW83" t="s">
        <v>568</v>
      </c>
      <c r="BX83" t="s">
        <v>569</v>
      </c>
      <c r="BY83" t="s">
        <v>126</v>
      </c>
      <c r="BZ83">
        <v>540</v>
      </c>
      <c r="CA83" t="s">
        <v>921</v>
      </c>
      <c r="CB83" t="s">
        <v>922</v>
      </c>
      <c r="CC83">
        <v>94977</v>
      </c>
      <c r="CD83" t="s">
        <v>171</v>
      </c>
      <c r="CE83" t="s">
        <v>923</v>
      </c>
      <c r="CF83" t="s">
        <v>153</v>
      </c>
      <c r="CI83" t="str">
        <f>"0"</f>
        <v>0</v>
      </c>
      <c r="CL83" t="s">
        <v>136</v>
      </c>
      <c r="CN83" t="s">
        <v>132</v>
      </c>
      <c r="CO83" t="s">
        <v>118</v>
      </c>
    </row>
    <row r="84" spans="1:93" hidden="1" x14ac:dyDescent="0.3">
      <c r="A84">
        <v>2878798</v>
      </c>
      <c r="B84">
        <v>558956</v>
      </c>
      <c r="C84" t="str">
        <f>"940815402287"</f>
        <v>940815402287</v>
      </c>
      <c r="D84" t="s">
        <v>924</v>
      </c>
      <c r="E84" t="s">
        <v>735</v>
      </c>
      <c r="F84" t="s">
        <v>925</v>
      </c>
      <c r="G84" s="1">
        <v>34561</v>
      </c>
      <c r="I84" t="s">
        <v>106</v>
      </c>
      <c r="J84" t="s">
        <v>107</v>
      </c>
      <c r="K84" t="s">
        <v>108</v>
      </c>
      <c r="P84" t="s">
        <v>109</v>
      </c>
      <c r="Q84" t="s">
        <v>136</v>
      </c>
      <c r="W84" t="str">
        <f t="shared" si="7"/>
        <v>2023-09-01T00:00:00</v>
      </c>
      <c r="X84" t="str">
        <f>"208"</f>
        <v>208</v>
      </c>
      <c r="Z84" t="s">
        <v>110</v>
      </c>
      <c r="AA84" t="s">
        <v>111</v>
      </c>
      <c r="AE84" t="s">
        <v>138</v>
      </c>
      <c r="AF84" t="s">
        <v>459</v>
      </c>
      <c r="AG84">
        <v>1</v>
      </c>
      <c r="AH84" t="s">
        <v>114</v>
      </c>
      <c r="AI84" t="s">
        <v>115</v>
      </c>
      <c r="AJ84" t="s">
        <v>116</v>
      </c>
      <c r="AN84" t="s">
        <v>117</v>
      </c>
      <c r="AO84" t="s">
        <v>118</v>
      </c>
      <c r="AP84" t="str">
        <f>"3"</f>
        <v>3</v>
      </c>
      <c r="AQ84" t="str">
        <f>"3"</f>
        <v>3</v>
      </c>
      <c r="AR84" t="str">
        <f>"3"</f>
        <v>3</v>
      </c>
      <c r="AS84" t="str">
        <f>"3"</f>
        <v>3</v>
      </c>
      <c r="AT84" t="str">
        <f t="shared" si="6"/>
        <v>0</v>
      </c>
      <c r="AU84" t="str">
        <f>"bigeldieva@mail.ru"</f>
        <v>bigeldieva@mail.ru</v>
      </c>
      <c r="AV84" t="str">
        <f>"87471574180"</f>
        <v>87471574180</v>
      </c>
      <c r="AW84" t="s">
        <v>119</v>
      </c>
      <c r="AZ84" t="s">
        <v>189</v>
      </c>
      <c r="BH84" t="s">
        <v>176</v>
      </c>
      <c r="BI84">
        <v>0.5</v>
      </c>
      <c r="BJ84" t="s">
        <v>119</v>
      </c>
      <c r="BN84" t="s">
        <v>142</v>
      </c>
      <c r="BR84" t="s">
        <v>131</v>
      </c>
      <c r="BU84" t="s">
        <v>588</v>
      </c>
      <c r="CD84" t="s">
        <v>171</v>
      </c>
      <c r="CI84" t="str">
        <f>"0"</f>
        <v>0</v>
      </c>
      <c r="CL84" t="s">
        <v>131</v>
      </c>
      <c r="CN84" t="s">
        <v>132</v>
      </c>
      <c r="CO84" t="s">
        <v>118</v>
      </c>
    </row>
    <row r="85" spans="1:93" hidden="1" x14ac:dyDescent="0.3">
      <c r="A85">
        <v>2878799</v>
      </c>
      <c r="B85">
        <v>144481</v>
      </c>
      <c r="C85" t="str">
        <f>"900424451381"</f>
        <v>900424451381</v>
      </c>
      <c r="D85" t="s">
        <v>926</v>
      </c>
      <c r="E85" t="s">
        <v>927</v>
      </c>
      <c r="F85" t="s">
        <v>928</v>
      </c>
      <c r="G85" s="1">
        <v>32987</v>
      </c>
      <c r="I85" t="s">
        <v>106</v>
      </c>
      <c r="J85" t="s">
        <v>107</v>
      </c>
      <c r="K85" t="s">
        <v>108</v>
      </c>
      <c r="P85" t="s">
        <v>109</v>
      </c>
      <c r="Q85" t="s">
        <v>136</v>
      </c>
      <c r="W85" t="str">
        <f t="shared" si="7"/>
        <v>2023-09-01T00:00:00</v>
      </c>
      <c r="X85" t="str">
        <f>"207"</f>
        <v>207</v>
      </c>
      <c r="Z85" t="s">
        <v>110</v>
      </c>
      <c r="AA85" t="s">
        <v>111</v>
      </c>
      <c r="AE85" t="s">
        <v>138</v>
      </c>
      <c r="AF85" t="s">
        <v>113</v>
      </c>
      <c r="AG85">
        <v>1.4</v>
      </c>
      <c r="AH85" t="s">
        <v>114</v>
      </c>
      <c r="AI85" t="s">
        <v>115</v>
      </c>
      <c r="AJ85" t="s">
        <v>116</v>
      </c>
      <c r="AN85" t="s">
        <v>117</v>
      </c>
      <c r="AO85" t="s">
        <v>118</v>
      </c>
      <c r="AP85" t="str">
        <f>"8"</f>
        <v>8</v>
      </c>
      <c r="AQ85" t="str">
        <f>"8"</f>
        <v>8</v>
      </c>
      <c r="AR85" t="str">
        <f>"8"</f>
        <v>8</v>
      </c>
      <c r="AS85" t="str">
        <f>"8"</f>
        <v>8</v>
      </c>
      <c r="AT85" t="str">
        <f t="shared" si="6"/>
        <v>0</v>
      </c>
      <c r="AU85" t="str">
        <f>"kappasova_17@mail.ru"</f>
        <v>kappasova_17@mail.ru</v>
      </c>
      <c r="AV85" t="str">
        <f>"87761416497"</f>
        <v>87761416497</v>
      </c>
      <c r="AW85" t="s">
        <v>139</v>
      </c>
      <c r="AX85" t="s">
        <v>140</v>
      </c>
      <c r="AZ85" t="s">
        <v>177</v>
      </c>
      <c r="BD85" t="s">
        <v>190</v>
      </c>
      <c r="BE85" t="s">
        <v>122</v>
      </c>
      <c r="BF85">
        <v>1.4</v>
      </c>
      <c r="BG85" t="str">
        <f>"[22]"</f>
        <v>[22]</v>
      </c>
      <c r="BH85" t="s">
        <v>118</v>
      </c>
      <c r="BI85">
        <v>0</v>
      </c>
      <c r="BN85" t="s">
        <v>142</v>
      </c>
      <c r="BR85" t="s">
        <v>131</v>
      </c>
      <c r="BU85" t="s">
        <v>666</v>
      </c>
      <c r="BV85" t="s">
        <v>190</v>
      </c>
      <c r="BW85" t="s">
        <v>667</v>
      </c>
      <c r="BX85" t="s">
        <v>569</v>
      </c>
      <c r="BY85" t="s">
        <v>929</v>
      </c>
      <c r="BZ85">
        <v>160</v>
      </c>
      <c r="CA85" t="s">
        <v>930</v>
      </c>
      <c r="CB85" t="s">
        <v>931</v>
      </c>
      <c r="CC85">
        <v>0</v>
      </c>
      <c r="CD85" t="s">
        <v>171</v>
      </c>
      <c r="CE85" t="s">
        <v>932</v>
      </c>
      <c r="CF85" t="s">
        <v>153</v>
      </c>
      <c r="CI85" t="str">
        <f>"0"</f>
        <v>0</v>
      </c>
      <c r="CL85" t="s">
        <v>131</v>
      </c>
      <c r="CN85" t="s">
        <v>201</v>
      </c>
      <c r="CO85" t="s">
        <v>118</v>
      </c>
    </row>
    <row r="86" spans="1:93" hidden="1" x14ac:dyDescent="0.3">
      <c r="A86">
        <v>2878800</v>
      </c>
      <c r="B86">
        <v>1803773</v>
      </c>
      <c r="C86" t="str">
        <f>"030601650791"</f>
        <v>030601650791</v>
      </c>
      <c r="D86" t="s">
        <v>933</v>
      </c>
      <c r="E86" t="s">
        <v>934</v>
      </c>
      <c r="F86" t="s">
        <v>458</v>
      </c>
      <c r="G86" s="1">
        <v>37773</v>
      </c>
      <c r="I86" t="s">
        <v>106</v>
      </c>
      <c r="J86" t="s">
        <v>107</v>
      </c>
      <c r="K86" t="s">
        <v>273</v>
      </c>
      <c r="P86" t="s">
        <v>109</v>
      </c>
      <c r="Q86" t="s">
        <v>136</v>
      </c>
      <c r="W86" t="str">
        <f>"2023-10-02T00:00:00"</f>
        <v>2023-10-02T00:00:00</v>
      </c>
      <c r="X86" t="str">
        <f>"245"</f>
        <v>245</v>
      </c>
      <c r="Z86" t="s">
        <v>110</v>
      </c>
      <c r="AA86" t="s">
        <v>111</v>
      </c>
      <c r="AE86" t="s">
        <v>138</v>
      </c>
      <c r="AF86" t="s">
        <v>207</v>
      </c>
      <c r="AG86">
        <v>1.4</v>
      </c>
      <c r="AH86" t="s">
        <v>114</v>
      </c>
      <c r="AI86" t="s">
        <v>115</v>
      </c>
      <c r="AJ86" t="s">
        <v>208</v>
      </c>
      <c r="AN86" t="s">
        <v>117</v>
      </c>
      <c r="AO86" t="s">
        <v>118</v>
      </c>
      <c r="AP86" t="str">
        <f t="shared" ref="AP86:AS87" si="9">"0"</f>
        <v>0</v>
      </c>
      <c r="AQ86" t="str">
        <f t="shared" si="9"/>
        <v>0</v>
      </c>
      <c r="AR86" t="str">
        <f t="shared" si="9"/>
        <v>0</v>
      </c>
      <c r="AS86" t="str">
        <f t="shared" si="9"/>
        <v>0</v>
      </c>
      <c r="AT86" t="str">
        <f t="shared" si="6"/>
        <v>0</v>
      </c>
      <c r="AU86" t="str">
        <f>"solavahyuk_anna2374@mail.ru"</f>
        <v>solavahyuk_anna2374@mail.ru</v>
      </c>
      <c r="AV86" t="str">
        <f>"87776451162"</f>
        <v>87776451162</v>
      </c>
      <c r="AW86" t="s">
        <v>119</v>
      </c>
      <c r="AZ86" t="s">
        <v>211</v>
      </c>
      <c r="BD86" t="s">
        <v>212</v>
      </c>
      <c r="BE86" t="s">
        <v>213</v>
      </c>
      <c r="BF86">
        <v>1.4</v>
      </c>
      <c r="BG86" t="str">
        <f>"[21]"</f>
        <v>[21]</v>
      </c>
      <c r="BH86" t="s">
        <v>118</v>
      </c>
      <c r="BI86">
        <v>0</v>
      </c>
      <c r="BN86" t="s">
        <v>142</v>
      </c>
      <c r="BR86" t="s">
        <v>131</v>
      </c>
      <c r="BU86" t="s">
        <v>588</v>
      </c>
      <c r="CD86" t="s">
        <v>171</v>
      </c>
      <c r="CE86" t="s">
        <v>338</v>
      </c>
      <c r="CF86" s="2">
        <v>45383</v>
      </c>
      <c r="CI86" t="str">
        <f>"0"</f>
        <v>0</v>
      </c>
      <c r="CL86" t="s">
        <v>131</v>
      </c>
      <c r="CN86" t="s">
        <v>132</v>
      </c>
      <c r="CO86" t="s">
        <v>118</v>
      </c>
    </row>
    <row r="87" spans="1:93" hidden="1" x14ac:dyDescent="0.3">
      <c r="A87">
        <v>2878801</v>
      </c>
      <c r="B87">
        <v>1803774</v>
      </c>
      <c r="C87" t="str">
        <f>"010807650936"</f>
        <v>010807650936</v>
      </c>
      <c r="D87" t="s">
        <v>935</v>
      </c>
      <c r="E87" t="s">
        <v>936</v>
      </c>
      <c r="F87" t="s">
        <v>433</v>
      </c>
      <c r="G87" s="1">
        <v>37110</v>
      </c>
      <c r="I87" t="s">
        <v>106</v>
      </c>
      <c r="J87" t="s">
        <v>107</v>
      </c>
      <c r="K87" t="s">
        <v>205</v>
      </c>
      <c r="P87" t="s">
        <v>109</v>
      </c>
      <c r="Q87" t="s">
        <v>136</v>
      </c>
      <c r="W87" t="str">
        <f>"2023-09-01T00:00:00"</f>
        <v>2023-09-01T00:00:00</v>
      </c>
      <c r="X87" t="str">
        <f>"223"</f>
        <v>223</v>
      </c>
      <c r="Z87" t="s">
        <v>110</v>
      </c>
      <c r="AA87" t="s">
        <v>111</v>
      </c>
      <c r="AE87" t="s">
        <v>138</v>
      </c>
      <c r="AF87" t="s">
        <v>113</v>
      </c>
      <c r="AG87">
        <v>1.1000000000000001</v>
      </c>
      <c r="AH87" t="s">
        <v>114</v>
      </c>
      <c r="AI87" t="s">
        <v>115</v>
      </c>
      <c r="AJ87" t="s">
        <v>116</v>
      </c>
      <c r="AN87" t="s">
        <v>117</v>
      </c>
      <c r="AO87" t="s">
        <v>118</v>
      </c>
      <c r="AP87" t="str">
        <f t="shared" si="9"/>
        <v>0</v>
      </c>
      <c r="AQ87" t="str">
        <f t="shared" si="9"/>
        <v>0</v>
      </c>
      <c r="AR87" t="str">
        <f t="shared" si="9"/>
        <v>0</v>
      </c>
      <c r="AS87" t="str">
        <f t="shared" si="9"/>
        <v>0</v>
      </c>
      <c r="AT87" t="str">
        <f t="shared" si="6"/>
        <v>0</v>
      </c>
      <c r="AU87" t="str">
        <f>"nastya07a2001@gmail.com"</f>
        <v>nastya07a2001@gmail.com</v>
      </c>
      <c r="AV87" t="str">
        <f>"87715935479"</f>
        <v>87715935479</v>
      </c>
      <c r="AW87" t="s">
        <v>119</v>
      </c>
      <c r="AZ87" t="s">
        <v>211</v>
      </c>
      <c r="BD87" t="s">
        <v>593</v>
      </c>
      <c r="BE87" t="s">
        <v>122</v>
      </c>
      <c r="BF87">
        <v>1.1000000000000001</v>
      </c>
      <c r="BG87" t="str">
        <f>"[18]"</f>
        <v>[18]</v>
      </c>
      <c r="BH87" t="s">
        <v>937</v>
      </c>
      <c r="BI87">
        <v>1</v>
      </c>
      <c r="BJ87" t="s">
        <v>119</v>
      </c>
      <c r="BN87" t="s">
        <v>142</v>
      </c>
      <c r="BR87" t="s">
        <v>131</v>
      </c>
      <c r="BU87" t="s">
        <v>123</v>
      </c>
      <c r="BV87" t="s">
        <v>938</v>
      </c>
      <c r="BW87" t="s">
        <v>939</v>
      </c>
      <c r="BX87" t="s">
        <v>125</v>
      </c>
      <c r="BY87" t="s">
        <v>570</v>
      </c>
      <c r="BZ87">
        <v>10</v>
      </c>
      <c r="CA87" t="s">
        <v>940</v>
      </c>
      <c r="CB87" t="s">
        <v>941</v>
      </c>
      <c r="CC87">
        <v>638454</v>
      </c>
      <c r="CD87" t="s">
        <v>171</v>
      </c>
      <c r="CE87" t="s">
        <v>942</v>
      </c>
      <c r="CF87" t="s">
        <v>153</v>
      </c>
      <c r="CI87" t="str">
        <f>"0"</f>
        <v>0</v>
      </c>
      <c r="CL87" t="s">
        <v>131</v>
      </c>
      <c r="CN87" t="s">
        <v>132</v>
      </c>
      <c r="CO87" t="s">
        <v>118</v>
      </c>
    </row>
    <row r="88" spans="1:93" x14ac:dyDescent="0.3">
      <c r="A88">
        <v>2879008</v>
      </c>
      <c r="B88">
        <v>1311749</v>
      </c>
      <c r="C88" t="str">
        <f>"701223400870"</f>
        <v>701223400870</v>
      </c>
      <c r="D88" t="s">
        <v>943</v>
      </c>
      <c r="E88" t="s">
        <v>944</v>
      </c>
      <c r="F88" t="s">
        <v>945</v>
      </c>
      <c r="G88" s="1">
        <v>25925</v>
      </c>
      <c r="I88" t="s">
        <v>106</v>
      </c>
      <c r="J88" t="s">
        <v>107</v>
      </c>
      <c r="K88" t="s">
        <v>108</v>
      </c>
      <c r="P88" t="s">
        <v>109</v>
      </c>
      <c r="Q88" t="s">
        <v>136</v>
      </c>
      <c r="W88" t="str">
        <f>"2023-09-01T00:00:00"</f>
        <v>2023-09-01T00:00:00</v>
      </c>
      <c r="X88" t="str">
        <f>"210"</f>
        <v>210</v>
      </c>
      <c r="Z88" t="s">
        <v>110</v>
      </c>
      <c r="AA88" t="s">
        <v>111</v>
      </c>
      <c r="AE88" t="s">
        <v>138</v>
      </c>
      <c r="AF88" t="s">
        <v>484</v>
      </c>
      <c r="AG88">
        <v>1.5</v>
      </c>
      <c r="AH88" t="s">
        <v>114</v>
      </c>
      <c r="AI88" t="s">
        <v>115</v>
      </c>
      <c r="AJ88" t="s">
        <v>485</v>
      </c>
      <c r="AN88" t="s">
        <v>486</v>
      </c>
      <c r="AP88" t="str">
        <f>"20"</f>
        <v>20</v>
      </c>
      <c r="AQ88" t="str">
        <f>"20"</f>
        <v>20</v>
      </c>
      <c r="AS88" t="str">
        <f>"0"</f>
        <v>0</v>
      </c>
      <c r="AT88" t="str">
        <f t="shared" si="6"/>
        <v>0</v>
      </c>
      <c r="BH88" t="s">
        <v>118</v>
      </c>
      <c r="BI88">
        <v>0</v>
      </c>
    </row>
    <row r="89" spans="1:93" hidden="1" x14ac:dyDescent="0.3">
      <c r="A89">
        <v>2879171</v>
      </c>
      <c r="B89">
        <v>1803866</v>
      </c>
      <c r="C89" t="str">
        <f>"001005650858"</f>
        <v>001005650858</v>
      </c>
      <c r="D89" t="s">
        <v>946</v>
      </c>
      <c r="E89" t="s">
        <v>947</v>
      </c>
      <c r="F89" t="s">
        <v>948</v>
      </c>
      <c r="G89" s="1">
        <v>36804</v>
      </c>
      <c r="I89" t="s">
        <v>106</v>
      </c>
      <c r="J89" t="s">
        <v>107</v>
      </c>
      <c r="K89" t="s">
        <v>108</v>
      </c>
      <c r="P89" t="s">
        <v>109</v>
      </c>
      <c r="Q89" t="s">
        <v>136</v>
      </c>
      <c r="W89" t="str">
        <f>"2023-09-01T00:00:00"</f>
        <v>2023-09-01T00:00:00</v>
      </c>
      <c r="X89" t="str">
        <f>"209"</f>
        <v>209</v>
      </c>
      <c r="Z89" t="s">
        <v>110</v>
      </c>
      <c r="AA89" t="s">
        <v>111</v>
      </c>
      <c r="AE89" t="s">
        <v>138</v>
      </c>
      <c r="AF89" t="s">
        <v>176</v>
      </c>
      <c r="AG89">
        <v>1</v>
      </c>
      <c r="AH89" t="s">
        <v>114</v>
      </c>
      <c r="AI89" t="s">
        <v>115</v>
      </c>
      <c r="AJ89" t="s">
        <v>116</v>
      </c>
      <c r="AN89" t="s">
        <v>117</v>
      </c>
      <c r="AO89" t="s">
        <v>118</v>
      </c>
      <c r="AP89" t="str">
        <f>"0"</f>
        <v>0</v>
      </c>
      <c r="AQ89" t="str">
        <f>"0"</f>
        <v>0</v>
      </c>
      <c r="AR89" t="str">
        <f>"0"</f>
        <v>0</v>
      </c>
      <c r="AS89" t="str">
        <f>"0"</f>
        <v>0</v>
      </c>
      <c r="AT89" t="str">
        <f t="shared" si="6"/>
        <v>0</v>
      </c>
      <c r="AU89" t="str">
        <f>"dalmira@mail.ru"</f>
        <v>dalmira@mail.ru</v>
      </c>
      <c r="AV89" t="str">
        <f>"87711145475"</f>
        <v>87711145475</v>
      </c>
      <c r="AW89" t="s">
        <v>119</v>
      </c>
      <c r="AZ89" t="s">
        <v>120</v>
      </c>
      <c r="BH89" t="s">
        <v>113</v>
      </c>
      <c r="BI89">
        <v>0.2</v>
      </c>
      <c r="BJ89" t="s">
        <v>119</v>
      </c>
      <c r="BL89" t="s">
        <v>434</v>
      </c>
      <c r="BM89">
        <v>0.2</v>
      </c>
      <c r="BN89" t="s">
        <v>142</v>
      </c>
      <c r="BR89" t="s">
        <v>131</v>
      </c>
      <c r="BU89" t="s">
        <v>588</v>
      </c>
      <c r="CD89" t="s">
        <v>171</v>
      </c>
      <c r="CE89" t="s">
        <v>949</v>
      </c>
      <c r="CF89" s="2">
        <v>45383</v>
      </c>
      <c r="CI89" t="str">
        <f>"0"</f>
        <v>0</v>
      </c>
      <c r="CL89" t="s">
        <v>136</v>
      </c>
      <c r="CN89" t="s">
        <v>132</v>
      </c>
      <c r="CO89" t="s">
        <v>244</v>
      </c>
    </row>
    <row r="90" spans="1:93" hidden="1" x14ac:dyDescent="0.3">
      <c r="A90">
        <v>2879232</v>
      </c>
      <c r="B90">
        <v>135175</v>
      </c>
      <c r="C90" t="str">
        <f>"820411450593"</f>
        <v>820411450593</v>
      </c>
      <c r="D90" t="s">
        <v>950</v>
      </c>
      <c r="E90" t="s">
        <v>739</v>
      </c>
      <c r="F90" t="s">
        <v>951</v>
      </c>
      <c r="G90" s="1">
        <v>30052</v>
      </c>
      <c r="I90" t="s">
        <v>106</v>
      </c>
      <c r="J90" t="s">
        <v>107</v>
      </c>
      <c r="K90" t="s">
        <v>108</v>
      </c>
      <c r="P90" t="s">
        <v>109</v>
      </c>
      <c r="Q90" t="s">
        <v>136</v>
      </c>
      <c r="W90" t="str">
        <f>"2023-09-01T00:00:00"</f>
        <v>2023-09-01T00:00:00</v>
      </c>
      <c r="X90" t="str">
        <f>"213"</f>
        <v>213</v>
      </c>
      <c r="Z90" t="s">
        <v>110</v>
      </c>
      <c r="AA90" t="s">
        <v>111</v>
      </c>
      <c r="AE90" t="s">
        <v>138</v>
      </c>
      <c r="AF90" t="s">
        <v>113</v>
      </c>
      <c r="AG90">
        <v>1.5</v>
      </c>
      <c r="AH90" t="s">
        <v>114</v>
      </c>
      <c r="AI90" t="s">
        <v>115</v>
      </c>
      <c r="AJ90" t="s">
        <v>116</v>
      </c>
      <c r="AN90" t="s">
        <v>117</v>
      </c>
      <c r="AO90" t="s">
        <v>118</v>
      </c>
      <c r="AP90" t="str">
        <f>"19"</f>
        <v>19</v>
      </c>
      <c r="AQ90" t="str">
        <f>"19"</f>
        <v>19</v>
      </c>
      <c r="AR90" t="str">
        <f>"19"</f>
        <v>19</v>
      </c>
      <c r="AS90" t="str">
        <f>"19"</f>
        <v>19</v>
      </c>
      <c r="AT90" t="str">
        <f t="shared" si="6"/>
        <v>0</v>
      </c>
      <c r="AU90" t="str">
        <f>"muhamejarovasandugash@yandex.kz"</f>
        <v>muhamejarovasandugash@yandex.kz</v>
      </c>
      <c r="AV90" t="str">
        <f>"87711161182"</f>
        <v>87711161182</v>
      </c>
      <c r="AW90" t="s">
        <v>139</v>
      </c>
      <c r="AX90" t="s">
        <v>160</v>
      </c>
      <c r="AZ90" t="s">
        <v>120</v>
      </c>
      <c r="BD90" t="s">
        <v>567</v>
      </c>
      <c r="BE90" t="s">
        <v>122</v>
      </c>
      <c r="BF90">
        <v>1.5</v>
      </c>
      <c r="BG90" t="str">
        <f>"[24]"</f>
        <v>[24]</v>
      </c>
      <c r="BH90" t="s">
        <v>118</v>
      </c>
      <c r="BI90">
        <v>0</v>
      </c>
      <c r="BN90" t="s">
        <v>142</v>
      </c>
      <c r="BR90" t="s">
        <v>131</v>
      </c>
      <c r="BU90" t="s">
        <v>123</v>
      </c>
      <c r="BV90" t="s">
        <v>567</v>
      </c>
      <c r="BW90" t="s">
        <v>708</v>
      </c>
      <c r="BX90" t="s">
        <v>569</v>
      </c>
      <c r="BY90" t="s">
        <v>570</v>
      </c>
      <c r="BZ90">
        <v>40</v>
      </c>
      <c r="CA90" t="s">
        <v>952</v>
      </c>
      <c r="CB90" t="s">
        <v>953</v>
      </c>
      <c r="CC90" t="s">
        <v>954</v>
      </c>
      <c r="CD90" t="s">
        <v>171</v>
      </c>
      <c r="CE90" t="s">
        <v>955</v>
      </c>
      <c r="CF90" s="2">
        <v>45383</v>
      </c>
      <c r="CI90" t="str">
        <f>"0"</f>
        <v>0</v>
      </c>
      <c r="CL90" t="s">
        <v>131</v>
      </c>
      <c r="CN90" t="s">
        <v>132</v>
      </c>
      <c r="CO90" t="s">
        <v>118</v>
      </c>
    </row>
    <row r="91" spans="1:93" hidden="1" x14ac:dyDescent="0.3">
      <c r="A91">
        <v>2928300</v>
      </c>
      <c r="B91">
        <v>1297563</v>
      </c>
      <c r="C91" t="str">
        <f>"790703402463"</f>
        <v>790703402463</v>
      </c>
      <c r="D91" t="s">
        <v>956</v>
      </c>
      <c r="E91" t="s">
        <v>957</v>
      </c>
      <c r="F91" t="s">
        <v>527</v>
      </c>
      <c r="G91" s="1">
        <v>29039</v>
      </c>
      <c r="I91" t="s">
        <v>106</v>
      </c>
      <c r="J91" t="s">
        <v>107</v>
      </c>
      <c r="K91" t="s">
        <v>205</v>
      </c>
      <c r="P91" t="s">
        <v>109</v>
      </c>
      <c r="Q91" t="s">
        <v>136</v>
      </c>
      <c r="W91" t="str">
        <f>"2023-11-06T00:00:00"</f>
        <v>2023-11-06T00:00:00</v>
      </c>
      <c r="X91" t="str">
        <f>"256/2"</f>
        <v>256/2</v>
      </c>
      <c r="Z91" t="s">
        <v>110</v>
      </c>
      <c r="AA91" t="s">
        <v>111</v>
      </c>
      <c r="AE91" t="s">
        <v>138</v>
      </c>
      <c r="AF91" t="s">
        <v>958</v>
      </c>
      <c r="AG91">
        <v>0.5</v>
      </c>
      <c r="AH91" t="s">
        <v>774</v>
      </c>
      <c r="AI91" t="s">
        <v>115</v>
      </c>
      <c r="AJ91" t="s">
        <v>116</v>
      </c>
      <c r="AN91" t="s">
        <v>117</v>
      </c>
      <c r="AO91" t="s">
        <v>158</v>
      </c>
      <c r="AP91" t="str">
        <f>"5"</f>
        <v>5</v>
      </c>
      <c r="AQ91" t="str">
        <f>"5"</f>
        <v>5</v>
      </c>
      <c r="AR91" t="str">
        <f>"5"</f>
        <v>5</v>
      </c>
      <c r="AS91" t="str">
        <f>"5"</f>
        <v>5</v>
      </c>
      <c r="AT91" t="str">
        <f t="shared" si="6"/>
        <v>0</v>
      </c>
      <c r="AU91" t="str">
        <f>"eva.alimbaeva79@bk.ru"</f>
        <v>eva.alimbaeva79@bk.ru</v>
      </c>
      <c r="AV91" t="str">
        <f>"87712565784"</f>
        <v>87712565784</v>
      </c>
      <c r="AW91" t="s">
        <v>139</v>
      </c>
      <c r="AX91" t="s">
        <v>140</v>
      </c>
      <c r="AZ91" t="s">
        <v>211</v>
      </c>
      <c r="BH91" t="s">
        <v>118</v>
      </c>
      <c r="BI91">
        <v>0</v>
      </c>
      <c r="BN91" t="s">
        <v>161</v>
      </c>
      <c r="BR91" t="s">
        <v>131</v>
      </c>
      <c r="BS91" t="s">
        <v>554</v>
      </c>
      <c r="BU91" t="s">
        <v>959</v>
      </c>
      <c r="BV91" t="s">
        <v>910</v>
      </c>
      <c r="BW91" t="s">
        <v>960</v>
      </c>
      <c r="BX91" t="s">
        <v>292</v>
      </c>
      <c r="BY91" t="s">
        <v>293</v>
      </c>
      <c r="BZ91" t="s">
        <v>961</v>
      </c>
      <c r="CA91" t="s">
        <v>962</v>
      </c>
      <c r="CB91" t="s">
        <v>963</v>
      </c>
      <c r="CC91" t="s">
        <v>964</v>
      </c>
      <c r="CD91" t="s">
        <v>171</v>
      </c>
      <c r="CL91" t="s">
        <v>136</v>
      </c>
      <c r="CN91" t="s">
        <v>132</v>
      </c>
      <c r="CO91" t="s">
        <v>917</v>
      </c>
    </row>
    <row r="92" spans="1:93" x14ac:dyDescent="0.3">
      <c r="A92">
        <v>2928342</v>
      </c>
      <c r="B92">
        <v>165799</v>
      </c>
      <c r="C92" t="str">
        <f>"881007450421"</f>
        <v>881007450421</v>
      </c>
      <c r="D92" t="s">
        <v>965</v>
      </c>
      <c r="E92" t="s">
        <v>966</v>
      </c>
      <c r="F92" t="s">
        <v>204</v>
      </c>
      <c r="G92" s="1">
        <v>32423</v>
      </c>
      <c r="I92" t="s">
        <v>106</v>
      </c>
      <c r="J92" t="s">
        <v>107</v>
      </c>
      <c r="K92" t="s">
        <v>205</v>
      </c>
      <c r="P92" t="s">
        <v>109</v>
      </c>
      <c r="Q92" t="s">
        <v>136</v>
      </c>
      <c r="W92" t="str">
        <f>"2023-11-08T00:00:00"</f>
        <v>2023-11-08T00:00:00</v>
      </c>
      <c r="X92" t="str">
        <f>"258"</f>
        <v>258</v>
      </c>
      <c r="Z92" t="s">
        <v>110</v>
      </c>
      <c r="AA92" t="s">
        <v>111</v>
      </c>
      <c r="AE92" t="s">
        <v>138</v>
      </c>
      <c r="AF92" t="s">
        <v>484</v>
      </c>
      <c r="AG92">
        <v>1.5</v>
      </c>
      <c r="AH92" t="s">
        <v>114</v>
      </c>
      <c r="AI92" t="s">
        <v>115</v>
      </c>
      <c r="AJ92" t="s">
        <v>490</v>
      </c>
      <c r="AN92" t="s">
        <v>486</v>
      </c>
      <c r="AP92" t="str">
        <f>"3"</f>
        <v>3</v>
      </c>
      <c r="AQ92" t="str">
        <f>"3"</f>
        <v>3</v>
      </c>
      <c r="AS92" t="str">
        <f>"0"</f>
        <v>0</v>
      </c>
      <c r="AT92" t="str">
        <f t="shared" si="6"/>
        <v>0</v>
      </c>
      <c r="AU92" t="str">
        <f>"stepnogorskddt@mail.ru"</f>
        <v>stepnogorskddt@mail.ru</v>
      </c>
      <c r="AV92" t="str">
        <f>"8 702 123 31 81"</f>
        <v>8 702 123 31 81</v>
      </c>
      <c r="BH92" t="s">
        <v>118</v>
      </c>
      <c r="BI92">
        <v>0</v>
      </c>
      <c r="BU92" t="s">
        <v>967</v>
      </c>
      <c r="BV92" t="s">
        <v>171</v>
      </c>
    </row>
    <row r="93" spans="1:93" x14ac:dyDescent="0.3">
      <c r="A93">
        <v>2928358</v>
      </c>
      <c r="B93">
        <v>1821815</v>
      </c>
      <c r="C93" t="str">
        <f>"011229650888"</f>
        <v>011229650888</v>
      </c>
      <c r="D93" t="s">
        <v>700</v>
      </c>
      <c r="E93" t="s">
        <v>968</v>
      </c>
      <c r="F93" t="s">
        <v>969</v>
      </c>
      <c r="G93" s="1">
        <v>37254</v>
      </c>
      <c r="I93" t="s">
        <v>106</v>
      </c>
      <c r="J93" t="s">
        <v>107</v>
      </c>
      <c r="K93" t="s">
        <v>108</v>
      </c>
      <c r="P93" t="s">
        <v>109</v>
      </c>
      <c r="Q93" t="s">
        <v>136</v>
      </c>
      <c r="W93" t="str">
        <f>"2023-11-01T00:00:00"</f>
        <v>2023-11-01T00:00:00</v>
      </c>
      <c r="X93" t="str">
        <f>"254"</f>
        <v>254</v>
      </c>
      <c r="Z93" t="s">
        <v>110</v>
      </c>
      <c r="AA93" t="s">
        <v>111</v>
      </c>
      <c r="AE93" t="s">
        <v>138</v>
      </c>
      <c r="AF93" t="s">
        <v>780</v>
      </c>
      <c r="AG93">
        <v>0.5</v>
      </c>
      <c r="AH93" t="s">
        <v>114</v>
      </c>
      <c r="AI93" t="s">
        <v>115</v>
      </c>
      <c r="AJ93" t="s">
        <v>485</v>
      </c>
      <c r="AN93" t="s">
        <v>486</v>
      </c>
      <c r="AP93" t="str">
        <f>"2"</f>
        <v>2</v>
      </c>
      <c r="AQ93" t="str">
        <f>"2"</f>
        <v>2</v>
      </c>
      <c r="AS93" t="str">
        <f>"0"</f>
        <v>0</v>
      </c>
      <c r="AT93" t="str">
        <f t="shared" si="6"/>
        <v>0</v>
      </c>
      <c r="BH93" t="s">
        <v>970</v>
      </c>
      <c r="BI93">
        <v>0.5</v>
      </c>
    </row>
    <row r="94" spans="1:93" x14ac:dyDescent="0.3">
      <c r="A94">
        <v>2974703</v>
      </c>
      <c r="B94">
        <v>1838336</v>
      </c>
      <c r="C94" t="str">
        <f>"650101400357"</f>
        <v>650101400357</v>
      </c>
      <c r="D94" t="s">
        <v>971</v>
      </c>
      <c r="E94" t="s">
        <v>972</v>
      </c>
      <c r="F94" t="s">
        <v>973</v>
      </c>
      <c r="G94" s="1">
        <v>23743</v>
      </c>
      <c r="I94" t="s">
        <v>106</v>
      </c>
      <c r="J94" t="s">
        <v>107</v>
      </c>
      <c r="K94" t="s">
        <v>108</v>
      </c>
      <c r="P94" t="s">
        <v>109</v>
      </c>
      <c r="Q94" t="s">
        <v>136</v>
      </c>
      <c r="W94" t="str">
        <f>"2024-01-08T00:00:00"</f>
        <v>2024-01-08T00:00:00</v>
      </c>
      <c r="X94" t="str">
        <f>"4"</f>
        <v>4</v>
      </c>
      <c r="Z94" t="s">
        <v>110</v>
      </c>
      <c r="AA94" t="s">
        <v>111</v>
      </c>
      <c r="AE94" t="s">
        <v>138</v>
      </c>
      <c r="AF94" t="s">
        <v>974</v>
      </c>
      <c r="AG94">
        <v>1</v>
      </c>
      <c r="AH94" t="s">
        <v>114</v>
      </c>
      <c r="AI94" t="s">
        <v>115</v>
      </c>
      <c r="AJ94" t="s">
        <v>775</v>
      </c>
      <c r="AN94" t="s">
        <v>486</v>
      </c>
      <c r="AP94" t="str">
        <f>"0"</f>
        <v>0</v>
      </c>
      <c r="AQ94" t="str">
        <f>"0"</f>
        <v>0</v>
      </c>
      <c r="AS94" t="str">
        <f>"0"</f>
        <v>0</v>
      </c>
      <c r="AT94" t="str">
        <f t="shared" si="6"/>
        <v>0</v>
      </c>
      <c r="BH94" t="s">
        <v>118</v>
      </c>
      <c r="BI94">
        <v>0</v>
      </c>
    </row>
    <row r="95" spans="1:93" x14ac:dyDescent="0.3">
      <c r="A95">
        <v>2974714</v>
      </c>
      <c r="B95">
        <v>1838339</v>
      </c>
      <c r="C95" t="str">
        <f>"790514401993"</f>
        <v>790514401993</v>
      </c>
      <c r="D95" t="s">
        <v>225</v>
      </c>
      <c r="E95" t="s">
        <v>724</v>
      </c>
      <c r="F95" t="s">
        <v>975</v>
      </c>
      <c r="G95" s="1">
        <v>28989</v>
      </c>
      <c r="I95" t="s">
        <v>106</v>
      </c>
      <c r="J95" t="s">
        <v>107</v>
      </c>
      <c r="K95" t="s">
        <v>108</v>
      </c>
      <c r="P95" t="s">
        <v>976</v>
      </c>
      <c r="Q95" t="s">
        <v>136</v>
      </c>
      <c r="W95" t="str">
        <f>"2024-01-03T00:00:00"</f>
        <v>2024-01-03T00:00:00</v>
      </c>
      <c r="X95" t="str">
        <f>"1"</f>
        <v>1</v>
      </c>
      <c r="Z95" t="s">
        <v>110</v>
      </c>
      <c r="AA95" t="s">
        <v>111</v>
      </c>
      <c r="AE95" t="s">
        <v>138</v>
      </c>
      <c r="AF95" t="s">
        <v>977</v>
      </c>
      <c r="AG95">
        <v>1</v>
      </c>
      <c r="AH95" t="s">
        <v>114</v>
      </c>
      <c r="AI95" t="s">
        <v>115</v>
      </c>
      <c r="AJ95" t="s">
        <v>485</v>
      </c>
      <c r="AN95" t="s">
        <v>486</v>
      </c>
      <c r="AP95" t="str">
        <f>"0"</f>
        <v>0</v>
      </c>
      <c r="AQ95" t="str">
        <f>"0"</f>
        <v>0</v>
      </c>
      <c r="AS95" t="str">
        <f>"0"</f>
        <v>0</v>
      </c>
      <c r="AT95" t="str">
        <f t="shared" si="6"/>
        <v>0</v>
      </c>
      <c r="BH95" t="s">
        <v>118</v>
      </c>
      <c r="BI95">
        <v>0</v>
      </c>
    </row>
    <row r="96" spans="1:93" hidden="1" x14ac:dyDescent="0.3">
      <c r="A96">
        <v>2994994</v>
      </c>
      <c r="B96">
        <v>1845411</v>
      </c>
      <c r="C96" t="str">
        <f>"790705401783"</f>
        <v>790705401783</v>
      </c>
      <c r="D96" t="s">
        <v>978</v>
      </c>
      <c r="E96" t="s">
        <v>979</v>
      </c>
      <c r="F96" t="s">
        <v>980</v>
      </c>
      <c r="G96" s="1">
        <v>29041</v>
      </c>
      <c r="I96" t="s">
        <v>106</v>
      </c>
      <c r="J96" t="s">
        <v>107</v>
      </c>
      <c r="K96" t="s">
        <v>205</v>
      </c>
      <c r="P96" t="s">
        <v>109</v>
      </c>
      <c r="W96" t="str">
        <f>"2024-02-05T00:00:00"</f>
        <v>2024-02-05T00:00:00</v>
      </c>
      <c r="X96" t="str">
        <f>"9"</f>
        <v>9</v>
      </c>
      <c r="Z96" t="s">
        <v>137</v>
      </c>
      <c r="AA96" t="s">
        <v>111</v>
      </c>
      <c r="AE96" t="s">
        <v>138</v>
      </c>
      <c r="AF96" t="s">
        <v>207</v>
      </c>
      <c r="AG96">
        <v>1.2</v>
      </c>
      <c r="AH96" t="s">
        <v>114</v>
      </c>
      <c r="AI96" t="s">
        <v>115</v>
      </c>
      <c r="AJ96" t="s">
        <v>116</v>
      </c>
      <c r="AN96" t="s">
        <v>117</v>
      </c>
      <c r="AO96" t="s">
        <v>118</v>
      </c>
      <c r="AP96" t="str">
        <f>"5"</f>
        <v>5</v>
      </c>
      <c r="AQ96" t="str">
        <f>"5"</f>
        <v>5</v>
      </c>
      <c r="AR96" t="str">
        <f>"5"</f>
        <v>5</v>
      </c>
      <c r="AS96" t="str">
        <f>"5"</f>
        <v>5</v>
      </c>
      <c r="AT96" t="str">
        <f t="shared" si="6"/>
        <v>0</v>
      </c>
      <c r="AU96" t="str">
        <f>"Zlayatyt@mail.ru"</f>
        <v>Zlayatyt@mail.ru</v>
      </c>
      <c r="AV96" t="str">
        <f>"87013784992"</f>
        <v>87013784992</v>
      </c>
      <c r="AW96" t="s">
        <v>119</v>
      </c>
      <c r="AZ96" t="s">
        <v>211</v>
      </c>
      <c r="BD96" t="s">
        <v>212</v>
      </c>
      <c r="BE96" t="s">
        <v>122</v>
      </c>
      <c r="BF96">
        <v>1.2</v>
      </c>
      <c r="BG96" t="str">
        <f>"[19]"</f>
        <v>[19]</v>
      </c>
      <c r="BH96" t="s">
        <v>118</v>
      </c>
      <c r="BI96">
        <v>0</v>
      </c>
      <c r="BN96" t="s">
        <v>275</v>
      </c>
      <c r="BR96" t="s">
        <v>131</v>
      </c>
      <c r="BU96" t="s">
        <v>588</v>
      </c>
      <c r="CD96" t="s">
        <v>171</v>
      </c>
      <c r="CE96" t="s">
        <v>243</v>
      </c>
      <c r="CF96" s="2">
        <v>45383</v>
      </c>
      <c r="CI96" t="str">
        <f>"1"</f>
        <v>1</v>
      </c>
      <c r="CL96" t="s">
        <v>131</v>
      </c>
      <c r="CN96" t="s">
        <v>132</v>
      </c>
      <c r="CO96" t="s">
        <v>118</v>
      </c>
    </row>
    <row r="97" spans="1:93" x14ac:dyDescent="0.3">
      <c r="A97">
        <v>2994998</v>
      </c>
      <c r="B97">
        <v>1845413</v>
      </c>
      <c r="C97" t="str">
        <f>"830105050744"</f>
        <v>830105050744</v>
      </c>
      <c r="D97" t="s">
        <v>981</v>
      </c>
      <c r="E97" t="s">
        <v>982</v>
      </c>
      <c r="F97" t="s">
        <v>983</v>
      </c>
      <c r="G97" s="1">
        <v>30321</v>
      </c>
      <c r="I97" t="s">
        <v>106</v>
      </c>
      <c r="J97" t="s">
        <v>698</v>
      </c>
      <c r="K97" t="s">
        <v>108</v>
      </c>
      <c r="P97" t="s">
        <v>109</v>
      </c>
      <c r="W97" t="str">
        <f>"2024-02-01T00:00:00"</f>
        <v>2024-02-01T00:00:00</v>
      </c>
      <c r="X97" t="str">
        <f>"8"</f>
        <v>8</v>
      </c>
      <c r="Z97" t="s">
        <v>540</v>
      </c>
      <c r="AA97" t="s">
        <v>111</v>
      </c>
      <c r="AE97" t="s">
        <v>138</v>
      </c>
      <c r="AF97" t="s">
        <v>484</v>
      </c>
      <c r="AG97">
        <v>1.5</v>
      </c>
      <c r="AH97" t="s">
        <v>114</v>
      </c>
      <c r="AI97" t="s">
        <v>115</v>
      </c>
      <c r="AJ97" t="s">
        <v>490</v>
      </c>
      <c r="AN97" t="s">
        <v>486</v>
      </c>
      <c r="AP97" t="str">
        <f>"0"</f>
        <v>0</v>
      </c>
      <c r="AQ97" t="str">
        <f>"0"</f>
        <v>0</v>
      </c>
      <c r="AS97" t="str">
        <f>"0"</f>
        <v>0</v>
      </c>
      <c r="AT97" t="str">
        <f t="shared" si="6"/>
        <v>0</v>
      </c>
      <c r="BH97" t="s">
        <v>118</v>
      </c>
      <c r="BI97">
        <v>0</v>
      </c>
    </row>
    <row r="98" spans="1:93" hidden="1" x14ac:dyDescent="0.3">
      <c r="A98">
        <v>3008280</v>
      </c>
      <c r="B98">
        <v>581619</v>
      </c>
      <c r="C98" t="str">
        <f>"850626450240"</f>
        <v>850626450240</v>
      </c>
      <c r="D98" t="s">
        <v>984</v>
      </c>
      <c r="E98" t="s">
        <v>985</v>
      </c>
      <c r="F98" t="s">
        <v>986</v>
      </c>
      <c r="G98" s="1">
        <v>31224</v>
      </c>
      <c r="I98" t="s">
        <v>106</v>
      </c>
      <c r="J98" t="s">
        <v>107</v>
      </c>
      <c r="K98" t="s">
        <v>108</v>
      </c>
      <c r="P98" t="s">
        <v>109</v>
      </c>
      <c r="Q98" t="s">
        <v>136</v>
      </c>
      <c r="W98" t="str">
        <f>"2024-01-08T00:00:00"</f>
        <v>2024-01-08T00:00:00</v>
      </c>
      <c r="X98" t="str">
        <f>"5"</f>
        <v>5</v>
      </c>
      <c r="Z98" t="s">
        <v>110</v>
      </c>
      <c r="AA98" t="s">
        <v>772</v>
      </c>
      <c r="AE98" t="s">
        <v>138</v>
      </c>
      <c r="AF98" t="s">
        <v>113</v>
      </c>
      <c r="AG98">
        <v>0.4</v>
      </c>
      <c r="AH98" t="s">
        <v>774</v>
      </c>
      <c r="AI98" t="s">
        <v>229</v>
      </c>
      <c r="AJ98" t="s">
        <v>230</v>
      </c>
      <c r="AN98" t="s">
        <v>117</v>
      </c>
      <c r="AO98" t="s">
        <v>118</v>
      </c>
      <c r="AP98" t="str">
        <f>"19"</f>
        <v>19</v>
      </c>
      <c r="AQ98" t="str">
        <f>"19"</f>
        <v>19</v>
      </c>
      <c r="AR98" t="str">
        <f>"16"</f>
        <v>16</v>
      </c>
      <c r="AS98" t="str">
        <f>"16"</f>
        <v>16</v>
      </c>
      <c r="AT98" t="str">
        <f t="shared" si="6"/>
        <v>0</v>
      </c>
      <c r="AU98" t="str">
        <f>"kymbat_8585@bk.ru"</f>
        <v>kymbat_8585@bk.ru</v>
      </c>
      <c r="AV98" t="str">
        <f>"87773349076"</f>
        <v>87773349076</v>
      </c>
      <c r="AW98" t="s">
        <v>139</v>
      </c>
      <c r="AX98" t="s">
        <v>232</v>
      </c>
      <c r="AZ98" t="s">
        <v>189</v>
      </c>
      <c r="BD98" t="s">
        <v>288</v>
      </c>
      <c r="BE98" t="s">
        <v>122</v>
      </c>
      <c r="BF98">
        <v>0.4</v>
      </c>
      <c r="BG98" t="str">
        <f>"[6]"</f>
        <v>[6]</v>
      </c>
      <c r="BH98" t="s">
        <v>118</v>
      </c>
      <c r="BI98">
        <v>0</v>
      </c>
      <c r="BN98" t="s">
        <v>824</v>
      </c>
      <c r="BR98" t="s">
        <v>136</v>
      </c>
      <c r="BU98" t="s">
        <v>987</v>
      </c>
      <c r="BV98" t="s">
        <v>988</v>
      </c>
      <c r="BW98" t="s">
        <v>989</v>
      </c>
      <c r="BX98" t="s">
        <v>990</v>
      </c>
      <c r="BY98" t="s">
        <v>311</v>
      </c>
      <c r="BZ98" t="s">
        <v>991</v>
      </c>
      <c r="CA98" t="s">
        <v>992</v>
      </c>
      <c r="CB98" t="s">
        <v>993</v>
      </c>
      <c r="CC98" t="s">
        <v>994</v>
      </c>
      <c r="CD98" t="s">
        <v>171</v>
      </c>
      <c r="CE98" t="s">
        <v>995</v>
      </c>
      <c r="CF98" t="s">
        <v>153</v>
      </c>
      <c r="CI98" t="str">
        <f>"0"</f>
        <v>0</v>
      </c>
      <c r="CL98" t="s">
        <v>136</v>
      </c>
      <c r="CN98" t="s">
        <v>132</v>
      </c>
      <c r="CO98" t="s">
        <v>118</v>
      </c>
    </row>
    <row r="99" spans="1:93" hidden="1" x14ac:dyDescent="0.3">
      <c r="A99">
        <v>3008281</v>
      </c>
      <c r="B99">
        <v>141756</v>
      </c>
      <c r="C99" t="str">
        <f>"740430301189"</f>
        <v>740430301189</v>
      </c>
      <c r="D99" t="s">
        <v>996</v>
      </c>
      <c r="E99" t="s">
        <v>997</v>
      </c>
      <c r="F99" t="s">
        <v>998</v>
      </c>
      <c r="G99" s="1">
        <v>27149</v>
      </c>
      <c r="I99" t="s">
        <v>548</v>
      </c>
      <c r="J99" t="s">
        <v>107</v>
      </c>
      <c r="K99" t="s">
        <v>108</v>
      </c>
      <c r="P99" t="s">
        <v>843</v>
      </c>
      <c r="Q99" t="s">
        <v>136</v>
      </c>
      <c r="W99" t="str">
        <f>"2024-02-12T00:00:00"</f>
        <v>2024-02-12T00:00:00</v>
      </c>
      <c r="X99" t="str">
        <f>"11"</f>
        <v>11</v>
      </c>
      <c r="Z99" t="s">
        <v>110</v>
      </c>
      <c r="AA99" t="s">
        <v>111</v>
      </c>
      <c r="AE99" t="s">
        <v>138</v>
      </c>
      <c r="AF99" t="s">
        <v>113</v>
      </c>
      <c r="AG99">
        <v>1</v>
      </c>
      <c r="AH99" t="s">
        <v>114</v>
      </c>
      <c r="AI99" t="s">
        <v>115</v>
      </c>
      <c r="AJ99" t="s">
        <v>116</v>
      </c>
      <c r="AN99" t="s">
        <v>117</v>
      </c>
      <c r="AO99" t="s">
        <v>118</v>
      </c>
      <c r="AP99" t="str">
        <f>"19"</f>
        <v>19</v>
      </c>
      <c r="AQ99" t="str">
        <f>"19"</f>
        <v>19</v>
      </c>
      <c r="AR99" t="str">
        <f>"19"</f>
        <v>19</v>
      </c>
      <c r="AS99" t="str">
        <f>"19"</f>
        <v>19</v>
      </c>
      <c r="AT99" t="str">
        <f t="shared" si="6"/>
        <v>0</v>
      </c>
      <c r="AU99" t="str">
        <f>"kairbekov.1974@gmail.com"</f>
        <v>kairbekov.1974@gmail.com</v>
      </c>
      <c r="AV99" t="str">
        <f>"87056362956"</f>
        <v>87056362956</v>
      </c>
      <c r="AW99" t="s">
        <v>231</v>
      </c>
      <c r="AX99" t="s">
        <v>140</v>
      </c>
      <c r="AZ99" t="s">
        <v>120</v>
      </c>
      <c r="BD99" t="s">
        <v>553</v>
      </c>
      <c r="BE99" t="s">
        <v>122</v>
      </c>
      <c r="BF99">
        <v>1</v>
      </c>
      <c r="BG99" t="str">
        <f>"[16]"</f>
        <v>[16]</v>
      </c>
      <c r="BH99" t="s">
        <v>118</v>
      </c>
      <c r="BI99">
        <v>0</v>
      </c>
      <c r="BN99" t="s">
        <v>824</v>
      </c>
      <c r="BR99" t="s">
        <v>136</v>
      </c>
      <c r="BU99" t="s">
        <v>331</v>
      </c>
      <c r="BV99" t="s">
        <v>999</v>
      </c>
      <c r="BW99" t="s">
        <v>1000</v>
      </c>
      <c r="BX99" t="s">
        <v>292</v>
      </c>
      <c r="BY99" t="s">
        <v>798</v>
      </c>
      <c r="BZ99" t="s">
        <v>913</v>
      </c>
      <c r="CA99" t="s">
        <v>1001</v>
      </c>
      <c r="CB99" t="s">
        <v>1002</v>
      </c>
      <c r="CC99" t="s">
        <v>1003</v>
      </c>
      <c r="CD99" t="s">
        <v>171</v>
      </c>
      <c r="CE99" t="s">
        <v>1004</v>
      </c>
      <c r="CF99" s="2">
        <v>45383</v>
      </c>
      <c r="CI99" t="str">
        <f>"0"</f>
        <v>0</v>
      </c>
      <c r="CL99" t="s">
        <v>136</v>
      </c>
      <c r="CN99" t="s">
        <v>132</v>
      </c>
      <c r="CO99" t="s">
        <v>118</v>
      </c>
    </row>
    <row r="100" spans="1:93" hidden="1" x14ac:dyDescent="0.3">
      <c r="A100">
        <v>3008283</v>
      </c>
      <c r="B100">
        <v>157451</v>
      </c>
      <c r="C100" t="str">
        <f>"930922350865"</f>
        <v>930922350865</v>
      </c>
      <c r="D100" t="s">
        <v>1005</v>
      </c>
      <c r="E100" t="s">
        <v>1006</v>
      </c>
      <c r="F100" t="s">
        <v>629</v>
      </c>
      <c r="G100" s="1">
        <v>34234</v>
      </c>
      <c r="I100" t="s">
        <v>548</v>
      </c>
      <c r="J100" t="s">
        <v>107</v>
      </c>
      <c r="K100" t="s">
        <v>108</v>
      </c>
      <c r="P100" t="s">
        <v>549</v>
      </c>
      <c r="Q100" t="s">
        <v>136</v>
      </c>
      <c r="W100" t="str">
        <f>"2024-02-12T00:00:00"</f>
        <v>2024-02-12T00:00:00</v>
      </c>
      <c r="X100" t="str">
        <f>"12"</f>
        <v>12</v>
      </c>
      <c r="Z100" t="s">
        <v>110</v>
      </c>
      <c r="AA100" t="s">
        <v>772</v>
      </c>
      <c r="AE100" t="s">
        <v>138</v>
      </c>
      <c r="AF100" t="s">
        <v>551</v>
      </c>
      <c r="AG100">
        <v>1</v>
      </c>
      <c r="AH100" t="s">
        <v>774</v>
      </c>
      <c r="AI100" t="s">
        <v>115</v>
      </c>
      <c r="AJ100" t="s">
        <v>116</v>
      </c>
      <c r="AN100" t="s">
        <v>117</v>
      </c>
      <c r="AO100" t="s">
        <v>118</v>
      </c>
      <c r="AP100" t="str">
        <f>"2"</f>
        <v>2</v>
      </c>
      <c r="AQ100" t="str">
        <f>"2"</f>
        <v>2</v>
      </c>
      <c r="AR100" t="str">
        <f>"2"</f>
        <v>2</v>
      </c>
      <c r="AS100" t="str">
        <f>"2"</f>
        <v>2</v>
      </c>
      <c r="AT100" t="str">
        <f t="shared" si="6"/>
        <v>0</v>
      </c>
      <c r="AU100" t="str">
        <f>"shakhmetov2293@mail.ru"</f>
        <v>shakhmetov2293@mail.ru</v>
      </c>
      <c r="AV100" t="str">
        <f>"87077085541"</f>
        <v>87077085541</v>
      </c>
      <c r="AW100" t="s">
        <v>119</v>
      </c>
      <c r="AX100" t="s">
        <v>330</v>
      </c>
      <c r="AZ100" t="s">
        <v>120</v>
      </c>
      <c r="BD100" t="s">
        <v>552</v>
      </c>
      <c r="BE100" t="s">
        <v>122</v>
      </c>
      <c r="BH100" t="s">
        <v>118</v>
      </c>
      <c r="BI100">
        <v>0</v>
      </c>
      <c r="BN100" t="s">
        <v>824</v>
      </c>
      <c r="BR100" t="s">
        <v>136</v>
      </c>
      <c r="BU100" t="s">
        <v>123</v>
      </c>
      <c r="BV100" t="s">
        <v>553</v>
      </c>
      <c r="BW100" t="s">
        <v>667</v>
      </c>
      <c r="BX100" t="s">
        <v>125</v>
      </c>
      <c r="BY100" t="s">
        <v>570</v>
      </c>
      <c r="BZ100">
        <v>40</v>
      </c>
      <c r="CA100" t="s">
        <v>1007</v>
      </c>
      <c r="CB100" t="s">
        <v>1008</v>
      </c>
      <c r="CC100">
        <v>9388</v>
      </c>
      <c r="CD100" t="s">
        <v>171</v>
      </c>
      <c r="CE100" t="s">
        <v>1009</v>
      </c>
      <c r="CF100" t="s">
        <v>153</v>
      </c>
      <c r="CI100" t="str">
        <f>"0"</f>
        <v>0</v>
      </c>
      <c r="CL100" t="s">
        <v>136</v>
      </c>
      <c r="CN100" t="s">
        <v>132</v>
      </c>
      <c r="CO100" t="s">
        <v>118</v>
      </c>
    </row>
    <row r="101" spans="1:93" x14ac:dyDescent="0.3">
      <c r="A101">
        <v>3011172</v>
      </c>
      <c r="B101">
        <v>1504237</v>
      </c>
      <c r="C101" t="str">
        <f>"900306450936"</f>
        <v>900306450936</v>
      </c>
      <c r="D101" t="s">
        <v>1010</v>
      </c>
      <c r="E101" t="s">
        <v>1011</v>
      </c>
      <c r="F101" t="s">
        <v>1012</v>
      </c>
      <c r="G101" s="1">
        <v>32938</v>
      </c>
      <c r="I101" t="s">
        <v>106</v>
      </c>
      <c r="J101" t="s">
        <v>107</v>
      </c>
      <c r="K101" t="s">
        <v>108</v>
      </c>
      <c r="P101" t="s">
        <v>109</v>
      </c>
      <c r="Q101" t="s">
        <v>136</v>
      </c>
      <c r="W101" t="str">
        <f>"2024-01-23T00:00:00"</f>
        <v>2024-01-23T00:00:00</v>
      </c>
      <c r="X101" t="str">
        <f>"7"</f>
        <v>7</v>
      </c>
      <c r="Z101" t="s">
        <v>110</v>
      </c>
      <c r="AA101" t="s">
        <v>772</v>
      </c>
      <c r="AE101" t="s">
        <v>138</v>
      </c>
      <c r="AF101" t="s">
        <v>864</v>
      </c>
      <c r="AG101">
        <v>1</v>
      </c>
      <c r="AH101" t="s">
        <v>774</v>
      </c>
      <c r="AI101" t="s">
        <v>115</v>
      </c>
      <c r="AJ101" t="s">
        <v>775</v>
      </c>
      <c r="AN101" t="s">
        <v>117</v>
      </c>
      <c r="AP101" t="str">
        <f>"10"</f>
        <v>10</v>
      </c>
      <c r="AQ101" t="str">
        <f>"10"</f>
        <v>10</v>
      </c>
      <c r="AS101" t="str">
        <f>"0"</f>
        <v>0</v>
      </c>
      <c r="AT101" t="str">
        <f t="shared" si="6"/>
        <v>0</v>
      </c>
      <c r="BH101" t="s">
        <v>118</v>
      </c>
      <c r="BI101">
        <v>0</v>
      </c>
    </row>
    <row r="102" spans="1:93" hidden="1" x14ac:dyDescent="0.3">
      <c r="A102">
        <v>3011391</v>
      </c>
      <c r="B102">
        <v>567597</v>
      </c>
      <c r="C102" t="str">
        <f>"870823450027"</f>
        <v>870823450027</v>
      </c>
      <c r="D102" t="s">
        <v>984</v>
      </c>
      <c r="E102" t="s">
        <v>724</v>
      </c>
      <c r="F102" t="s">
        <v>1013</v>
      </c>
      <c r="G102" s="1">
        <v>32012</v>
      </c>
      <c r="I102" t="s">
        <v>106</v>
      </c>
      <c r="J102" t="s">
        <v>107</v>
      </c>
      <c r="K102" t="s">
        <v>108</v>
      </c>
      <c r="P102" t="s">
        <v>109</v>
      </c>
      <c r="Q102" t="s">
        <v>136</v>
      </c>
      <c r="W102" t="str">
        <f>"2024-02-05T00:00:00"</f>
        <v>2024-02-05T00:00:00</v>
      </c>
      <c r="X102" t="str">
        <f>"9/1"</f>
        <v>9/1</v>
      </c>
      <c r="Z102" t="s">
        <v>396</v>
      </c>
      <c r="AA102" t="s">
        <v>111</v>
      </c>
      <c r="AE102" t="s">
        <v>138</v>
      </c>
      <c r="AF102" t="s">
        <v>1014</v>
      </c>
      <c r="AG102">
        <v>1</v>
      </c>
      <c r="AH102" t="s">
        <v>114</v>
      </c>
      <c r="AI102" t="s">
        <v>115</v>
      </c>
      <c r="AJ102" t="s">
        <v>116</v>
      </c>
      <c r="AN102" t="s">
        <v>117</v>
      </c>
      <c r="AO102" t="s">
        <v>158</v>
      </c>
      <c r="AP102" t="str">
        <f>"17"</f>
        <v>17</v>
      </c>
      <c r="AQ102" t="str">
        <f>"17"</f>
        <v>17</v>
      </c>
      <c r="AR102" t="str">
        <f>"17"</f>
        <v>17</v>
      </c>
      <c r="AS102" t="str">
        <f>"17"</f>
        <v>17</v>
      </c>
      <c r="AT102" t="str">
        <f t="shared" si="6"/>
        <v>0</v>
      </c>
      <c r="AU102" t="str">
        <f>"shkola.zhaskayrat@mail.ru"</f>
        <v>shkola.zhaskayrat@mail.ru</v>
      </c>
      <c r="AV102" t="str">
        <f>"87761470347"</f>
        <v>87761470347</v>
      </c>
      <c r="AW102" t="s">
        <v>159</v>
      </c>
      <c r="AX102" t="s">
        <v>140</v>
      </c>
      <c r="AZ102" t="s">
        <v>120</v>
      </c>
      <c r="BH102" t="s">
        <v>118</v>
      </c>
      <c r="BI102">
        <v>0</v>
      </c>
      <c r="BN102" t="s">
        <v>275</v>
      </c>
      <c r="BR102" t="s">
        <v>131</v>
      </c>
      <c r="BS102" t="s">
        <v>554</v>
      </c>
      <c r="BU102" t="s">
        <v>588</v>
      </c>
      <c r="CD102" t="s">
        <v>171</v>
      </c>
      <c r="CI102" t="str">
        <f>"0"</f>
        <v>0</v>
      </c>
      <c r="CL102" t="s">
        <v>136</v>
      </c>
      <c r="CN102" t="s">
        <v>132</v>
      </c>
      <c r="CO102" t="s">
        <v>185</v>
      </c>
    </row>
    <row r="103" spans="1:93" x14ac:dyDescent="0.3">
      <c r="A103">
        <v>3012065</v>
      </c>
      <c r="B103">
        <v>1529062</v>
      </c>
      <c r="C103" t="str">
        <f>"710823450471"</f>
        <v>710823450471</v>
      </c>
      <c r="D103" t="s">
        <v>1015</v>
      </c>
      <c r="E103" t="s">
        <v>1016</v>
      </c>
      <c r="F103" t="s">
        <v>1017</v>
      </c>
      <c r="G103" s="1">
        <v>26168</v>
      </c>
      <c r="I103" t="s">
        <v>106</v>
      </c>
      <c r="J103" t="s">
        <v>107</v>
      </c>
      <c r="K103" t="s">
        <v>108</v>
      </c>
      <c r="P103" t="s">
        <v>109</v>
      </c>
      <c r="Q103" t="s">
        <v>136</v>
      </c>
      <c r="W103" t="str">
        <f>"2022-05-17T00:00:00"</f>
        <v>2022-05-17T00:00:00</v>
      </c>
      <c r="X103" t="str">
        <f>"68"</f>
        <v>68</v>
      </c>
      <c r="Z103" t="s">
        <v>110</v>
      </c>
      <c r="AA103" t="s">
        <v>111</v>
      </c>
      <c r="AE103" t="s">
        <v>138</v>
      </c>
      <c r="AF103" t="s">
        <v>484</v>
      </c>
      <c r="AG103">
        <v>1.5</v>
      </c>
      <c r="AH103" t="s">
        <v>114</v>
      </c>
      <c r="AI103" t="s">
        <v>115</v>
      </c>
      <c r="AJ103" t="s">
        <v>490</v>
      </c>
      <c r="AN103" t="s">
        <v>486</v>
      </c>
      <c r="AP103" t="str">
        <f>"6"</f>
        <v>6</v>
      </c>
      <c r="AQ103" t="str">
        <f>"7"</f>
        <v>7</v>
      </c>
      <c r="AS103" t="str">
        <f>"0"</f>
        <v>0</v>
      </c>
      <c r="AT103" t="str">
        <f>"1"</f>
        <v>1</v>
      </c>
      <c r="BH103" t="s">
        <v>118</v>
      </c>
      <c r="BI103">
        <v>0</v>
      </c>
    </row>
  </sheetData>
  <autoFilter ref="A1:CY103">
    <filterColumn colId="31">
      <filters>
        <filter val="IT специалист"/>
        <filter val="бухгалтер"/>
        <filter val="вахтер (на каждое здание)"/>
        <filter val="гардеробщик"/>
        <filter val="главный бухгалтер"/>
        <filter val="дворник"/>
        <filter val="делопроизводитель"/>
        <filter val="заведующий библиотекой"/>
        <filter val="заведующий хозяйством"/>
        <filter val="заместитель заведующего по хозяйственной части"/>
        <filter val="секретарь"/>
        <filter val="уборщик служебных помещений"/>
        <filter val="электрик"/>
      </filters>
    </filterColumn>
  </autoFilter>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Педагоги.</vt:lpstr>
      <vt:lpstr>Тех.персонал</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Гулзада Хуаныш</dc:creator>
  <cp:lastModifiedBy>gulek</cp:lastModifiedBy>
  <dcterms:created xsi:type="dcterms:W3CDTF">2024-02-22T09:52:57Z</dcterms:created>
  <dcterms:modified xsi:type="dcterms:W3CDTF">2024-02-22T10:01:21Z</dcterms:modified>
</cp:coreProperties>
</file>