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lek\OneDrive\Рабочий стол\НОБД СШ7\Аттестация 2023-2024\"/>
    </mc:Choice>
  </mc:AlternateContent>
  <bookViews>
    <workbookView xWindow="0" yWindow="0" windowWidth="23040" windowHeight="8784"/>
  </bookViews>
  <sheets>
    <sheet name="Список" sheetId="1" r:id="rId1"/>
  </sheets>
  <calcPr calcId="162913"/>
</workbook>
</file>

<file path=xl/calcChain.xml><?xml version="1.0" encoding="utf-8"?>
<calcChain xmlns="http://schemas.openxmlformats.org/spreadsheetml/2006/main">
  <c r="C2" i="1" l="1"/>
  <c r="W2" i="1"/>
  <c r="X2" i="1"/>
  <c r="Y2" i="1"/>
  <c r="Z2" i="1"/>
  <c r="AA2" i="1"/>
  <c r="AJ2" i="1"/>
  <c r="C3" i="1"/>
  <c r="W3" i="1"/>
  <c r="X3" i="1"/>
  <c r="Y3" i="1"/>
  <c r="Z3" i="1"/>
  <c r="AA3" i="1"/>
  <c r="AJ3" i="1"/>
  <c r="C4" i="1"/>
  <c r="W4" i="1"/>
  <c r="X4" i="1"/>
  <c r="Y4" i="1"/>
  <c r="Z4" i="1"/>
  <c r="AA4" i="1"/>
  <c r="C5" i="1"/>
  <c r="W5" i="1"/>
  <c r="X5" i="1"/>
  <c r="Y5" i="1"/>
  <c r="Z5" i="1"/>
  <c r="AA5" i="1"/>
  <c r="C6" i="1"/>
  <c r="W6" i="1"/>
  <c r="X6" i="1"/>
  <c r="Y6" i="1"/>
  <c r="Z6" i="1"/>
  <c r="AA6" i="1"/>
  <c r="AJ6" i="1"/>
  <c r="C7" i="1"/>
  <c r="W7" i="1"/>
  <c r="X7" i="1"/>
  <c r="Y7" i="1"/>
  <c r="Z7" i="1"/>
  <c r="AA7" i="1"/>
  <c r="AJ7" i="1"/>
  <c r="C8" i="1"/>
  <c r="W8" i="1"/>
  <c r="X8" i="1"/>
  <c r="Y8" i="1"/>
  <c r="Z8" i="1"/>
  <c r="AA8" i="1"/>
  <c r="AJ8" i="1"/>
  <c r="C9" i="1"/>
  <c r="W9" i="1"/>
  <c r="X9" i="1"/>
  <c r="Y9" i="1"/>
  <c r="Z9" i="1"/>
  <c r="AA9" i="1"/>
  <c r="AJ9" i="1"/>
  <c r="C10" i="1"/>
  <c r="W10" i="1"/>
  <c r="X10" i="1"/>
  <c r="Y10" i="1"/>
  <c r="Z10" i="1"/>
  <c r="AA10" i="1"/>
  <c r="AJ10" i="1"/>
  <c r="C11" i="1"/>
  <c r="W11" i="1"/>
  <c r="X11" i="1"/>
  <c r="Y11" i="1"/>
  <c r="Z11" i="1"/>
  <c r="AA11" i="1"/>
  <c r="C12" i="1"/>
  <c r="W12" i="1"/>
  <c r="X12" i="1"/>
  <c r="Y12" i="1"/>
  <c r="Z12" i="1"/>
  <c r="AA12" i="1"/>
  <c r="AJ12" i="1"/>
  <c r="C13" i="1"/>
  <c r="W13" i="1"/>
  <c r="X13" i="1"/>
  <c r="Y13" i="1"/>
  <c r="Z13" i="1"/>
  <c r="AA13" i="1"/>
  <c r="AJ13" i="1"/>
  <c r="C14" i="1"/>
  <c r="W14" i="1"/>
  <c r="X14" i="1"/>
  <c r="Y14" i="1"/>
  <c r="Z14" i="1"/>
  <c r="AA14" i="1"/>
  <c r="AJ14" i="1"/>
  <c r="C15" i="1"/>
  <c r="W15" i="1"/>
  <c r="X15" i="1"/>
  <c r="Y15" i="1"/>
  <c r="Z15" i="1"/>
  <c r="AA15" i="1"/>
  <c r="AJ15" i="1"/>
  <c r="C16" i="1"/>
  <c r="W16" i="1"/>
  <c r="X16" i="1"/>
  <c r="Y16" i="1"/>
  <c r="Z16" i="1"/>
  <c r="AA16" i="1"/>
  <c r="AJ16" i="1"/>
  <c r="C17" i="1"/>
  <c r="W17" i="1"/>
  <c r="X17" i="1"/>
  <c r="Y17" i="1"/>
  <c r="Z17" i="1"/>
  <c r="AA17" i="1"/>
  <c r="AJ17" i="1"/>
  <c r="C18" i="1"/>
  <c r="W18" i="1"/>
  <c r="X18" i="1"/>
  <c r="Y18" i="1"/>
  <c r="Z18" i="1"/>
  <c r="AA18" i="1"/>
  <c r="AJ18" i="1"/>
  <c r="C19" i="1"/>
  <c r="W19" i="1"/>
  <c r="X19" i="1"/>
  <c r="Y19" i="1"/>
  <c r="Z19" i="1"/>
  <c r="AA19" i="1"/>
  <c r="AJ19" i="1"/>
  <c r="C20" i="1"/>
  <c r="W20" i="1"/>
  <c r="X20" i="1"/>
  <c r="Y20" i="1"/>
  <c r="Z20" i="1"/>
  <c r="AA20" i="1"/>
  <c r="AJ20" i="1"/>
  <c r="C21" i="1"/>
  <c r="W21" i="1"/>
  <c r="X21" i="1"/>
  <c r="Y21" i="1"/>
  <c r="Z21" i="1"/>
  <c r="AA21" i="1"/>
  <c r="AJ21" i="1"/>
  <c r="C22" i="1"/>
  <c r="W22" i="1"/>
  <c r="X22" i="1"/>
  <c r="Y22" i="1"/>
  <c r="Z22" i="1"/>
  <c r="AA22" i="1"/>
  <c r="AJ22" i="1"/>
  <c r="C23" i="1"/>
  <c r="W23" i="1"/>
  <c r="X23" i="1"/>
  <c r="Y23" i="1"/>
  <c r="Z23" i="1"/>
  <c r="AA23" i="1"/>
  <c r="AJ23" i="1"/>
  <c r="C24" i="1"/>
  <c r="W24" i="1"/>
  <c r="X24" i="1"/>
  <c r="Y24" i="1"/>
  <c r="Z24" i="1"/>
  <c r="AA24" i="1"/>
  <c r="AJ24" i="1"/>
  <c r="C25" i="1"/>
  <c r="W25" i="1"/>
  <c r="X25" i="1"/>
  <c r="Y25" i="1"/>
  <c r="Z25" i="1"/>
  <c r="AA25" i="1"/>
  <c r="AJ25" i="1"/>
  <c r="C26" i="1"/>
  <c r="W26" i="1"/>
  <c r="X26" i="1"/>
  <c r="Y26" i="1"/>
  <c r="Z26" i="1"/>
  <c r="AA26" i="1"/>
  <c r="AJ26" i="1"/>
  <c r="C27" i="1"/>
  <c r="W27" i="1"/>
  <c r="X27" i="1"/>
  <c r="Y27" i="1"/>
  <c r="Z27" i="1"/>
  <c r="AA27" i="1"/>
  <c r="AJ27" i="1"/>
  <c r="C28" i="1"/>
  <c r="W28" i="1"/>
  <c r="X28" i="1"/>
  <c r="Y28" i="1"/>
  <c r="Z28" i="1"/>
  <c r="AA28" i="1"/>
  <c r="AJ28" i="1"/>
  <c r="C29" i="1"/>
  <c r="W29" i="1"/>
  <c r="X29" i="1"/>
  <c r="Z29" i="1"/>
  <c r="AA29" i="1"/>
  <c r="C30" i="1"/>
  <c r="W30" i="1"/>
  <c r="X30" i="1"/>
  <c r="Z30" i="1"/>
  <c r="AA30" i="1"/>
  <c r="C31" i="1"/>
  <c r="W31" i="1"/>
  <c r="X31" i="1"/>
  <c r="Y31" i="1"/>
  <c r="Z31" i="1"/>
  <c r="AA31" i="1"/>
  <c r="AJ31" i="1"/>
  <c r="C32" i="1"/>
  <c r="W32" i="1"/>
  <c r="X32" i="1"/>
  <c r="Y32" i="1"/>
  <c r="Z32" i="1"/>
  <c r="AA32" i="1"/>
  <c r="AJ32" i="1"/>
  <c r="C33" i="1"/>
  <c r="W33" i="1"/>
  <c r="X33" i="1"/>
  <c r="Y33" i="1"/>
  <c r="Z33" i="1"/>
  <c r="AA33" i="1"/>
  <c r="AJ33" i="1"/>
  <c r="C34" i="1"/>
  <c r="W34" i="1"/>
  <c r="X34" i="1"/>
  <c r="Y34" i="1"/>
  <c r="Z34" i="1"/>
  <c r="AA34" i="1"/>
  <c r="AJ34" i="1"/>
  <c r="C35" i="1"/>
  <c r="W35" i="1"/>
  <c r="X35" i="1"/>
  <c r="Z35" i="1"/>
  <c r="AA35" i="1"/>
  <c r="C36" i="1"/>
  <c r="W36" i="1"/>
  <c r="X36" i="1"/>
  <c r="Z36" i="1"/>
  <c r="AA36" i="1"/>
  <c r="C37" i="1"/>
  <c r="W37" i="1"/>
  <c r="X37" i="1"/>
  <c r="Y37" i="1"/>
  <c r="Z37" i="1"/>
  <c r="AA37" i="1"/>
  <c r="C38" i="1"/>
  <c r="W38" i="1"/>
  <c r="X38" i="1"/>
  <c r="Y38" i="1"/>
  <c r="Z38" i="1"/>
  <c r="AA38" i="1"/>
  <c r="AJ38" i="1"/>
  <c r="C39" i="1"/>
  <c r="W39" i="1"/>
  <c r="X39" i="1"/>
  <c r="Y39" i="1"/>
  <c r="Z39" i="1"/>
  <c r="AA39" i="1"/>
  <c r="AJ39" i="1"/>
  <c r="C40" i="1"/>
  <c r="W40" i="1"/>
  <c r="X40" i="1"/>
  <c r="Z40" i="1"/>
  <c r="AA40" i="1"/>
  <c r="C41" i="1"/>
  <c r="W41" i="1"/>
  <c r="X41" i="1"/>
  <c r="Y41" i="1"/>
  <c r="Z41" i="1"/>
  <c r="AA41" i="1"/>
  <c r="AJ41" i="1"/>
  <c r="C42" i="1"/>
  <c r="W42" i="1"/>
  <c r="X42" i="1"/>
  <c r="Y42" i="1"/>
  <c r="Z42" i="1"/>
  <c r="AA42" i="1"/>
  <c r="AJ42" i="1"/>
  <c r="C43" i="1"/>
  <c r="W43" i="1"/>
  <c r="X43" i="1"/>
  <c r="Y43" i="1"/>
  <c r="Z43" i="1"/>
  <c r="AA43" i="1"/>
  <c r="AJ43" i="1"/>
  <c r="C44" i="1"/>
  <c r="W44" i="1"/>
  <c r="X44" i="1"/>
  <c r="Y44" i="1"/>
  <c r="Z44" i="1"/>
  <c r="AA44" i="1"/>
  <c r="AJ44" i="1"/>
  <c r="C45" i="1"/>
  <c r="W45" i="1"/>
  <c r="X45" i="1"/>
  <c r="Y45" i="1"/>
  <c r="Z45" i="1"/>
  <c r="AA45" i="1"/>
  <c r="AJ45" i="1"/>
  <c r="C46" i="1"/>
  <c r="W46" i="1"/>
  <c r="X46" i="1"/>
  <c r="Y46" i="1"/>
  <c r="Z46" i="1"/>
  <c r="AA46" i="1"/>
  <c r="AJ46" i="1"/>
  <c r="C47" i="1"/>
  <c r="W47" i="1"/>
  <c r="X47" i="1"/>
  <c r="Y47" i="1"/>
  <c r="Z47" i="1"/>
  <c r="AA47" i="1"/>
  <c r="C48" i="1"/>
  <c r="W48" i="1"/>
  <c r="X48" i="1"/>
  <c r="Y48" i="1"/>
  <c r="Z48" i="1"/>
  <c r="AA48" i="1"/>
  <c r="AJ48" i="1"/>
  <c r="C49" i="1"/>
  <c r="W49" i="1"/>
  <c r="X49" i="1"/>
  <c r="Y49" i="1"/>
  <c r="Z49" i="1"/>
  <c r="AA49" i="1"/>
  <c r="AJ49" i="1"/>
  <c r="C50" i="1"/>
  <c r="W50" i="1"/>
  <c r="X50" i="1"/>
  <c r="Y50" i="1"/>
  <c r="Z50" i="1"/>
  <c r="AA50" i="1"/>
  <c r="AJ50" i="1"/>
  <c r="C51" i="1"/>
  <c r="W51" i="1"/>
  <c r="X51" i="1"/>
  <c r="Y51" i="1"/>
  <c r="Z51" i="1"/>
  <c r="AA51" i="1"/>
  <c r="C52" i="1"/>
  <c r="W52" i="1"/>
  <c r="X52" i="1"/>
  <c r="Z52" i="1"/>
  <c r="AA52" i="1"/>
  <c r="C53" i="1"/>
  <c r="W53" i="1"/>
  <c r="X53" i="1"/>
  <c r="Y53" i="1"/>
  <c r="Z53" i="1"/>
  <c r="AA53" i="1"/>
  <c r="AJ53" i="1"/>
  <c r="C54" i="1"/>
  <c r="W54" i="1"/>
  <c r="X54" i="1"/>
  <c r="Y54" i="1"/>
  <c r="Z54" i="1"/>
  <c r="AA54" i="1"/>
  <c r="AJ54" i="1"/>
  <c r="C55" i="1"/>
  <c r="W55" i="1"/>
  <c r="X55" i="1"/>
  <c r="Y55" i="1"/>
  <c r="Z55" i="1"/>
  <c r="AA55" i="1"/>
  <c r="AJ55" i="1"/>
  <c r="C56" i="1"/>
  <c r="W56" i="1"/>
  <c r="X56" i="1"/>
  <c r="Y56" i="1"/>
  <c r="Z56" i="1"/>
  <c r="AA56" i="1"/>
  <c r="AJ56" i="1"/>
  <c r="C57" i="1"/>
  <c r="W57" i="1"/>
  <c r="X57" i="1"/>
  <c r="Y57" i="1"/>
  <c r="Z57" i="1"/>
  <c r="AA57" i="1"/>
  <c r="AJ57" i="1"/>
  <c r="C58" i="1"/>
  <c r="W58" i="1"/>
  <c r="X58" i="1"/>
  <c r="Y58" i="1"/>
  <c r="Z58" i="1"/>
  <c r="AA58" i="1"/>
  <c r="AJ58" i="1"/>
  <c r="C59" i="1"/>
  <c r="W59" i="1"/>
  <c r="X59" i="1"/>
  <c r="Y59" i="1"/>
  <c r="Z59" i="1"/>
  <c r="AA59" i="1"/>
  <c r="AJ59" i="1"/>
  <c r="C60" i="1"/>
  <c r="W60" i="1"/>
  <c r="X60" i="1"/>
  <c r="Y60" i="1"/>
  <c r="Z60" i="1"/>
  <c r="AA60" i="1"/>
  <c r="C61" i="1"/>
  <c r="W61" i="1"/>
  <c r="X61" i="1"/>
  <c r="Y61" i="1"/>
  <c r="Z61" i="1"/>
  <c r="AA61" i="1"/>
  <c r="AJ61" i="1"/>
  <c r="C62" i="1"/>
  <c r="W62" i="1"/>
  <c r="X62" i="1"/>
  <c r="Z62" i="1"/>
  <c r="AA62" i="1"/>
  <c r="C63" i="1"/>
  <c r="W63" i="1"/>
  <c r="X63" i="1"/>
  <c r="Z63" i="1"/>
  <c r="AA63" i="1"/>
  <c r="C64" i="1"/>
  <c r="W64" i="1"/>
  <c r="X64" i="1"/>
  <c r="Z64" i="1"/>
  <c r="AA64" i="1"/>
  <c r="C65" i="1"/>
  <c r="W65" i="1"/>
  <c r="X65" i="1"/>
  <c r="Y65" i="1"/>
  <c r="Z65" i="1"/>
  <c r="AA65" i="1"/>
  <c r="AJ65" i="1"/>
  <c r="C66" i="1"/>
  <c r="W66" i="1"/>
  <c r="X66" i="1"/>
  <c r="Y66" i="1"/>
  <c r="Z66" i="1"/>
  <c r="AA66" i="1"/>
  <c r="AJ66" i="1"/>
  <c r="C67" i="1"/>
  <c r="W67" i="1"/>
  <c r="X67" i="1"/>
  <c r="Y67" i="1"/>
  <c r="Z67" i="1"/>
  <c r="AA67" i="1"/>
  <c r="AJ67" i="1"/>
  <c r="C68" i="1"/>
  <c r="W68" i="1"/>
  <c r="X68" i="1"/>
  <c r="Y68" i="1"/>
  <c r="Z68" i="1"/>
  <c r="AA68" i="1"/>
  <c r="AJ68" i="1"/>
  <c r="C69" i="1"/>
  <c r="W69" i="1"/>
  <c r="X69" i="1"/>
  <c r="Y69" i="1"/>
  <c r="Z69" i="1"/>
  <c r="AA69" i="1"/>
  <c r="AJ69" i="1"/>
  <c r="C70" i="1"/>
  <c r="W70" i="1"/>
  <c r="X70" i="1"/>
  <c r="Z70" i="1"/>
  <c r="AA70" i="1"/>
  <c r="C71" i="1"/>
  <c r="W71" i="1"/>
  <c r="X71" i="1"/>
  <c r="Z71" i="1"/>
  <c r="AA71" i="1"/>
  <c r="C72" i="1"/>
  <c r="W72" i="1"/>
  <c r="X72" i="1"/>
  <c r="Z72" i="1"/>
  <c r="AA72" i="1"/>
  <c r="C73" i="1"/>
  <c r="W73" i="1"/>
  <c r="X73" i="1"/>
  <c r="Z73" i="1"/>
  <c r="AA73" i="1"/>
  <c r="C74" i="1"/>
  <c r="W74" i="1"/>
  <c r="X74" i="1"/>
  <c r="Y74" i="1"/>
  <c r="Z74" i="1"/>
  <c r="AA74" i="1"/>
  <c r="AJ74" i="1"/>
  <c r="C75" i="1"/>
  <c r="W75" i="1"/>
  <c r="X75" i="1"/>
  <c r="Z75" i="1"/>
  <c r="AA75" i="1"/>
  <c r="C76" i="1"/>
  <c r="W76" i="1"/>
  <c r="X76" i="1"/>
  <c r="Z76" i="1"/>
  <c r="AA76" i="1"/>
  <c r="C77" i="1"/>
  <c r="W77" i="1"/>
  <c r="X77" i="1"/>
  <c r="Y77" i="1"/>
  <c r="Z77" i="1"/>
  <c r="AA77" i="1"/>
  <c r="AJ77" i="1"/>
  <c r="C78" i="1"/>
  <c r="W78" i="1"/>
  <c r="X78" i="1"/>
  <c r="Y78" i="1"/>
  <c r="Z78" i="1"/>
  <c r="AA78" i="1"/>
  <c r="AJ78" i="1"/>
  <c r="C79" i="1"/>
  <c r="W79" i="1"/>
  <c r="X79" i="1"/>
  <c r="Y79" i="1"/>
  <c r="Z79" i="1"/>
  <c r="AA79" i="1"/>
  <c r="AJ79" i="1"/>
  <c r="C80" i="1"/>
  <c r="W80" i="1"/>
  <c r="X80" i="1"/>
  <c r="Y80" i="1"/>
  <c r="Z80" i="1"/>
  <c r="AA80" i="1"/>
  <c r="AJ80" i="1"/>
  <c r="C81" i="1"/>
  <c r="W81" i="1"/>
  <c r="X81" i="1"/>
  <c r="Y81" i="1"/>
  <c r="Z81" i="1"/>
  <c r="AA81" i="1"/>
  <c r="AJ81" i="1"/>
  <c r="C82" i="1"/>
  <c r="W82" i="1"/>
  <c r="X82" i="1"/>
  <c r="Y82" i="1"/>
  <c r="Z82" i="1"/>
  <c r="AA82" i="1"/>
  <c r="C83" i="1"/>
  <c r="W83" i="1"/>
  <c r="X83" i="1"/>
  <c r="Y83" i="1"/>
  <c r="Z83" i="1"/>
  <c r="AA83" i="1"/>
  <c r="AJ83" i="1"/>
  <c r="C84" i="1"/>
  <c r="W84" i="1"/>
  <c r="X84" i="1"/>
  <c r="Y84" i="1"/>
  <c r="Z84" i="1"/>
  <c r="AA84" i="1"/>
  <c r="C85" i="1"/>
  <c r="W85" i="1"/>
  <c r="X85" i="1"/>
  <c r="Y85" i="1"/>
  <c r="Z85" i="1"/>
  <c r="AA85" i="1"/>
  <c r="AJ85" i="1"/>
  <c r="C86" i="1"/>
  <c r="W86" i="1"/>
  <c r="X86" i="1"/>
  <c r="Y86" i="1"/>
  <c r="Z86" i="1"/>
  <c r="AA86" i="1"/>
  <c r="AJ86" i="1"/>
  <c r="C87" i="1"/>
  <c r="W87" i="1"/>
  <c r="X87" i="1"/>
  <c r="Y87" i="1"/>
  <c r="Z87" i="1"/>
  <c r="AA87" i="1"/>
  <c r="AJ87" i="1"/>
  <c r="C88" i="1"/>
  <c r="W88" i="1"/>
  <c r="X88" i="1"/>
  <c r="Z88" i="1"/>
  <c r="AA88" i="1"/>
  <c r="C89" i="1"/>
  <c r="W89" i="1"/>
  <c r="X89" i="1"/>
  <c r="Y89" i="1"/>
  <c r="Z89" i="1"/>
  <c r="AA89" i="1"/>
  <c r="C90" i="1"/>
  <c r="W90" i="1"/>
  <c r="X90" i="1"/>
  <c r="Y90" i="1"/>
  <c r="Z90" i="1"/>
  <c r="AA90" i="1"/>
  <c r="AJ90" i="1"/>
  <c r="C91" i="1"/>
  <c r="W91" i="1"/>
  <c r="X91" i="1"/>
  <c r="Y91" i="1"/>
  <c r="Z91" i="1"/>
  <c r="AA91" i="1"/>
  <c r="C92" i="1"/>
  <c r="W92" i="1"/>
  <c r="X92" i="1"/>
  <c r="Z92" i="1"/>
  <c r="AA92" i="1"/>
  <c r="C93" i="1"/>
  <c r="W93" i="1"/>
  <c r="X93" i="1"/>
  <c r="Z93" i="1"/>
  <c r="AA93" i="1"/>
  <c r="C94" i="1"/>
  <c r="W94" i="1"/>
  <c r="X94" i="1"/>
  <c r="Z94" i="1"/>
  <c r="AA94" i="1"/>
  <c r="C95" i="1"/>
  <c r="W95" i="1"/>
  <c r="X95" i="1"/>
  <c r="Z95" i="1"/>
  <c r="AA95" i="1"/>
  <c r="C96" i="1"/>
  <c r="W96" i="1"/>
  <c r="X96" i="1"/>
  <c r="Y96" i="1"/>
  <c r="Z96" i="1"/>
  <c r="AA96" i="1"/>
  <c r="AJ96" i="1"/>
  <c r="C97" i="1"/>
  <c r="W97" i="1"/>
  <c r="X97" i="1"/>
  <c r="Z97" i="1"/>
  <c r="AA97" i="1"/>
  <c r="C98" i="1"/>
  <c r="W98" i="1"/>
  <c r="X98" i="1"/>
  <c r="Y98" i="1"/>
  <c r="Z98" i="1"/>
  <c r="AA98" i="1"/>
  <c r="AJ98" i="1"/>
  <c r="C99" i="1"/>
  <c r="W99" i="1"/>
  <c r="X99" i="1"/>
  <c r="Y99" i="1"/>
  <c r="Z99" i="1"/>
  <c r="AA99" i="1"/>
  <c r="AJ99" i="1"/>
  <c r="C100" i="1"/>
  <c r="W100" i="1"/>
  <c r="X100" i="1"/>
  <c r="Y100" i="1"/>
  <c r="Z100" i="1"/>
  <c r="AA100" i="1"/>
  <c r="C101" i="1"/>
  <c r="W101" i="1"/>
  <c r="X101" i="1"/>
  <c r="Z101" i="1"/>
  <c r="AA101" i="1"/>
  <c r="C102" i="1"/>
  <c r="W102" i="1"/>
  <c r="X102" i="1"/>
  <c r="Y102" i="1"/>
  <c r="Z102" i="1"/>
  <c r="AA102" i="1"/>
  <c r="C103" i="1"/>
  <c r="W103" i="1"/>
  <c r="X103" i="1"/>
  <c r="Z103" i="1"/>
  <c r="AA103" i="1"/>
</calcChain>
</file>

<file path=xl/sharedStrings.xml><?xml version="1.0" encoding="utf-8"?>
<sst xmlns="http://schemas.openxmlformats.org/spreadsheetml/2006/main" count="1832" uniqueCount="406">
  <si>
    <t>ID работника</t>
  </si>
  <si>
    <t>ID персонала</t>
  </si>
  <si>
    <t>ИИН</t>
  </si>
  <si>
    <t>Фамилия</t>
  </si>
  <si>
    <t>Имя</t>
  </si>
  <si>
    <t>Отчество</t>
  </si>
  <si>
    <t>Дата рождения</t>
  </si>
  <si>
    <t>Пол [199]</t>
  </si>
  <si>
    <t>Национальность [5703]</t>
  </si>
  <si>
    <t>Срок трудового договора [6375]</t>
  </si>
  <si>
    <t>Справка об отсутствии медицинских противопоказании [reference_non_medical_contraindications]</t>
  </si>
  <si>
    <t>Текущий статус сотрудника [6977]</t>
  </si>
  <si>
    <t>Должность [6649]</t>
  </si>
  <si>
    <t>Ставка основной должности [6659]</t>
  </si>
  <si>
    <t>Сотрудник [230]</t>
  </si>
  <si>
    <t>Академическая, ученая степень [6798]</t>
  </si>
  <si>
    <t>Образование [197]</t>
  </si>
  <si>
    <t>Прошел педагогическую переподготовку на базе ВУЗа [8818]</t>
  </si>
  <si>
    <t>Диплом [teacher_diploma]</t>
  </si>
  <si>
    <t>Заключение аттестации [conclusion_of_certification]</t>
  </si>
  <si>
    <t>Признак образования [229]</t>
  </si>
  <si>
    <t>Специальное дефектологическое образование [6279]</t>
  </si>
  <si>
    <t>Общий  стаж работы  на момент принятия на работу [7003]</t>
  </si>
  <si>
    <t>Общий  стаж работы на текущий момент [7061]</t>
  </si>
  <si>
    <t>Стаж педагогической работы на текущий момент [7004]</t>
  </si>
  <si>
    <t>Стаж педагогической работы на текущий момент [7062]</t>
  </si>
  <si>
    <t>Общий стаж работы в данной организации [7180]</t>
  </si>
  <si>
    <t>Категория [198]</t>
  </si>
  <si>
    <t>Год подтверждения либо присвоения категории [6751]</t>
  </si>
  <si>
    <t>Категория руководящей должности [management_position_category]</t>
  </si>
  <si>
    <t>Язык обучения [5579]</t>
  </si>
  <si>
    <t>Мониторинг уровня усвоения ТУПр, % [monitoring_level] / стартовый [start]</t>
  </si>
  <si>
    <t>Ведет предмет (основная нагрузка)* [6658]</t>
  </si>
  <si>
    <t>Соответствие по основному предмету [6660]</t>
  </si>
  <si>
    <t>Ставка основного предмета [6661]</t>
  </si>
  <si>
    <t>Количество часов в неделю [6662]</t>
  </si>
  <si>
    <t>Дополнительная должность [6749] / Должность [76298]</t>
  </si>
  <si>
    <t>Дополнительная должность [6749] / Ставка [76299]</t>
  </si>
  <si>
    <t>Категория дополнительной должности [additional_post_category]</t>
  </si>
  <si>
    <t>Год подтверждения либо присвоения категории дополнительной должности [additional_category_confirmation]</t>
  </si>
  <si>
    <t>Ведет предмет (дополнительная нагрузка) [6285] / Предмет [75742]</t>
  </si>
  <si>
    <t>Ведет предмет (дополнительная нагрузка) [6285] / Ставка [75963]</t>
  </si>
  <si>
    <t>КАЙНАРОВА</t>
  </si>
  <si>
    <t>АКМАРАЛ</t>
  </si>
  <si>
    <t>РЫСБЕККЫЗЫ</t>
  </si>
  <si>
    <t>женский</t>
  </si>
  <si>
    <t>Казахи</t>
  </si>
  <si>
    <t>неопределенный</t>
  </si>
  <si>
    <t>находится в декретном отпуске</t>
  </si>
  <si>
    <t>учитель/преподаватель</t>
  </si>
  <si>
    <t>штатный</t>
  </si>
  <si>
    <t>не имеет степени</t>
  </si>
  <si>
    <t>Высшее (педагогическое)</t>
  </si>
  <si>
    <t>педагогическое</t>
  </si>
  <si>
    <t>нет</t>
  </si>
  <si>
    <t>педагог</t>
  </si>
  <si>
    <t>[казахский, русский]</t>
  </si>
  <si>
    <t>Биология</t>
  </si>
  <si>
    <t>по специальности, полученной в ВУЗе</t>
  </si>
  <si>
    <t>[]</t>
  </si>
  <si>
    <t>СМАИЛОВА</t>
  </si>
  <si>
    <t>АЙГУЛЬ</t>
  </si>
  <si>
    <t>БАЙЗУЛЛАЕВНА</t>
  </si>
  <si>
    <t>Нет</t>
  </si>
  <si>
    <t>работает в данной организации</t>
  </si>
  <si>
    <t>педагог-эксперт</t>
  </si>
  <si>
    <t>Присвоено в 2021 году</t>
  </si>
  <si>
    <t>Казахский язык и литература</t>
  </si>
  <si>
    <t>ЖАКУПОВА</t>
  </si>
  <si>
    <t>АЛИЯ</t>
  </si>
  <si>
    <t>БАЛТАБАЕВНА</t>
  </si>
  <si>
    <t>учитель-логопед</t>
  </si>
  <si>
    <t>да</t>
  </si>
  <si>
    <t>педагог-модератор</t>
  </si>
  <si>
    <t>Присвоено в 2019 году</t>
  </si>
  <si>
    <t>не преподает</t>
  </si>
  <si>
    <t>САДЫКОВА</t>
  </si>
  <si>
    <t>НАЗЕРКЕ</t>
  </si>
  <si>
    <t>БОЛАТОВНА</t>
  </si>
  <si>
    <t>педагог-психолог</t>
  </si>
  <si>
    <t>[русский, казахский]</t>
  </si>
  <si>
    <t>РАШИДИНОВА</t>
  </si>
  <si>
    <t>АКЕРКЕ</t>
  </si>
  <si>
    <t>КАЙРАТКЫЗЫ</t>
  </si>
  <si>
    <t>[казахский]</t>
  </si>
  <si>
    <t>Английский язык</t>
  </si>
  <si>
    <t>ТОКАРЧИК</t>
  </si>
  <si>
    <t>АЛЕНА</t>
  </si>
  <si>
    <t>ЮРЬЕВНА</t>
  </si>
  <si>
    <t>Русские</t>
  </si>
  <si>
    <t>учитель начальных классов</t>
  </si>
  <si>
    <t>Техническое и профессиональное (педагогическое)</t>
  </si>
  <si>
    <t>Присвоено в 2020 году</t>
  </si>
  <si>
    <t>заместитель руководителя</t>
  </si>
  <si>
    <t>[русский]</t>
  </si>
  <si>
    <t>начальное обучение</t>
  </si>
  <si>
    <t>по специальности, полученной в организации ТиПО</t>
  </si>
  <si>
    <t>заместитель директора по учебной работе</t>
  </si>
  <si>
    <t>ОСПАНОВА</t>
  </si>
  <si>
    <t>ДАМЕТКЕН</t>
  </si>
  <si>
    <t>КАМЗЕВНА</t>
  </si>
  <si>
    <t>директор</t>
  </si>
  <si>
    <t>магистр</t>
  </si>
  <si>
    <t>Послевузовское образование (магистр, доктор PhD)</t>
  </si>
  <si>
    <t>педагог-исследователь</t>
  </si>
  <si>
    <t>Присвоено в 2023 году</t>
  </si>
  <si>
    <t>руководитель</t>
  </si>
  <si>
    <t>ТУРСУНБАЕВА</t>
  </si>
  <si>
    <t>АЛТЫН</t>
  </si>
  <si>
    <t>КАЙДАРОВА</t>
  </si>
  <si>
    <t>САРА</t>
  </si>
  <si>
    <t>ЕРМЕКОВНА</t>
  </si>
  <si>
    <t>МАНТАРИДИ</t>
  </si>
  <si>
    <t>ТАТЬЯНА</t>
  </si>
  <si>
    <t>ВЛАДИМИРОВНА</t>
  </si>
  <si>
    <t>Украинцы</t>
  </si>
  <si>
    <t>инспектор по профориентационной работе</t>
  </si>
  <si>
    <t>НУРМУХАНБЕТОВА</t>
  </si>
  <si>
    <t>АЛИНА</t>
  </si>
  <si>
    <t>АМАНЖОЛОВНА</t>
  </si>
  <si>
    <t>География</t>
  </si>
  <si>
    <t>БАЗАЙКИНА</t>
  </si>
  <si>
    <t>ИРИНА</t>
  </si>
  <si>
    <t>ШАКЕНОВА</t>
  </si>
  <si>
    <t>АЛТЫНБЕКОВНА</t>
  </si>
  <si>
    <t>БОРИСОВА</t>
  </si>
  <si>
    <t>ВАЛЕНТИНА</t>
  </si>
  <si>
    <t>ПАВЛОВНА</t>
  </si>
  <si>
    <t>Русский язык и литература</t>
  </si>
  <si>
    <t>ГОНЧАРОВА</t>
  </si>
  <si>
    <t>НИНА</t>
  </si>
  <si>
    <t>ОСКАРОВНА</t>
  </si>
  <si>
    <t>Присвоено в 2018 году</t>
  </si>
  <si>
    <t>ГРИХ</t>
  </si>
  <si>
    <t>ЛЮДМИЛА</t>
  </si>
  <si>
    <t>ВАСИЛЬЕВНА</t>
  </si>
  <si>
    <t>Физика/Астрономия</t>
  </si>
  <si>
    <t>КАКИМОВА</t>
  </si>
  <si>
    <t>НУРБАНУ</t>
  </si>
  <si>
    <t>ТЛЕУЛЕСОВНА</t>
  </si>
  <si>
    <t>Математика/алгебра/геометрия</t>
  </si>
  <si>
    <t>ЛИТВИНЕНКО</t>
  </si>
  <si>
    <t>НАТАЛИЯ</t>
  </si>
  <si>
    <t>МИХАЙЛОВНА</t>
  </si>
  <si>
    <t>ОРЛОВА</t>
  </si>
  <si>
    <t>ЕЛЕНА</t>
  </si>
  <si>
    <t>АНАТОЛЬЕВНА</t>
  </si>
  <si>
    <t>ПИЧУРИЧКО</t>
  </si>
  <si>
    <t>ЛУКАШЕНКО</t>
  </si>
  <si>
    <t>ВАЛЕРИЯ</t>
  </si>
  <si>
    <t>ЛЕОНИДОВНА</t>
  </si>
  <si>
    <t>Белорусы</t>
  </si>
  <si>
    <t>История</t>
  </si>
  <si>
    <t>РУБАНОВА</t>
  </si>
  <si>
    <t>ЯКОВЛЕВНА</t>
  </si>
  <si>
    <t>САРМАНОВА</t>
  </si>
  <si>
    <t>АЙКЫН</t>
  </si>
  <si>
    <t>МАКАМАДИЯРОВНА</t>
  </si>
  <si>
    <t>Подтверждено в 2023 году</t>
  </si>
  <si>
    <t>Художественный труд</t>
  </si>
  <si>
    <t>ЦЫБУЛЬСКАЯ</t>
  </si>
  <si>
    <t>АЛЕКСАНДРОВНА</t>
  </si>
  <si>
    <t>Информатика</t>
  </si>
  <si>
    <t>Технология</t>
  </si>
  <si>
    <t>ШИТОВА</t>
  </si>
  <si>
    <t>ИННА</t>
  </si>
  <si>
    <t>ВИКТОРОВНА</t>
  </si>
  <si>
    <t>библиотекарь</t>
  </si>
  <si>
    <t>ИСАЕВА</t>
  </si>
  <si>
    <t>РИММА</t>
  </si>
  <si>
    <t>СЕРГЕЕВНА</t>
  </si>
  <si>
    <t>социальный педагог</t>
  </si>
  <si>
    <t>ЗАКАРИЯНОВА</t>
  </si>
  <si>
    <t>БАЯН</t>
  </si>
  <si>
    <t>ТУЛЕГЕНОВНА</t>
  </si>
  <si>
    <t>ПРИВАЛОВА</t>
  </si>
  <si>
    <t>ОКСАНА</t>
  </si>
  <si>
    <t>уборщик служебных помещений</t>
  </si>
  <si>
    <t>Техническое и профессиональное образование</t>
  </si>
  <si>
    <t>другое</t>
  </si>
  <si>
    <t>ИСХАНОВА</t>
  </si>
  <si>
    <t>АШИМОВНА</t>
  </si>
  <si>
    <t>гардеробщик</t>
  </si>
  <si>
    <t>Общее среднее образование</t>
  </si>
  <si>
    <t>КОШАНОВА</t>
  </si>
  <si>
    <t>ДАНА</t>
  </si>
  <si>
    <t>ТАЛГАТОВНА</t>
  </si>
  <si>
    <t>КЕНЕНБАЕВА</t>
  </si>
  <si>
    <t>ЗУЛЬФИЯ</t>
  </si>
  <si>
    <t>КАДЫРОВНА</t>
  </si>
  <si>
    <t>заместитель директора по воспитательной работе</t>
  </si>
  <si>
    <t>ШИРЯЕВА</t>
  </si>
  <si>
    <t>ЕКАТЕРИНА</t>
  </si>
  <si>
    <t>ФЕДОРОВНА</t>
  </si>
  <si>
    <t>ЧЕРНОВА</t>
  </si>
  <si>
    <t>ДМИТРИЕВНА</t>
  </si>
  <si>
    <t>заместитель директора по учебно-воспитательной работе</t>
  </si>
  <si>
    <t>КРАВЦОВА</t>
  </si>
  <si>
    <t>СВЕТЛАНА</t>
  </si>
  <si>
    <t>РУДЧЕНКО</t>
  </si>
  <si>
    <t>ТАИСИЯ</t>
  </si>
  <si>
    <t>АЛЕКСЕЕВНА</t>
  </si>
  <si>
    <t>Мордва</t>
  </si>
  <si>
    <t>БАЙЖАНОВ</t>
  </si>
  <si>
    <t>НУРСУЛТАН</t>
  </si>
  <si>
    <t>БОРИСОВИЧ</t>
  </si>
  <si>
    <t>мужской</t>
  </si>
  <si>
    <t>педагог-организатор начальной военной и технологической подготовки</t>
  </si>
  <si>
    <t>НВП</t>
  </si>
  <si>
    <t>Физическая культура</t>
  </si>
  <si>
    <t>ЕСЛЯМОВА</t>
  </si>
  <si>
    <t>АЙЛАНА</t>
  </si>
  <si>
    <t>КАЙРАТОВНА</t>
  </si>
  <si>
    <t>Музыка</t>
  </si>
  <si>
    <t>МЕИРМАНОВА</t>
  </si>
  <si>
    <t>ГУСЕВА</t>
  </si>
  <si>
    <t>ЛЮБОВЬ</t>
  </si>
  <si>
    <t>вахтер (на каждое здание)</t>
  </si>
  <si>
    <t>АЛГЕЛДІҚЫЗЫ</t>
  </si>
  <si>
    <t>ӘЛИЯ</t>
  </si>
  <si>
    <t>АСТРАХАНЦЕВА</t>
  </si>
  <si>
    <t>ВАЛЕРЬЕВНА</t>
  </si>
  <si>
    <t>Химия</t>
  </si>
  <si>
    <t>ИКРАМБЕК</t>
  </si>
  <si>
    <t>АМАНЖОЛ</t>
  </si>
  <si>
    <t>ЖУВАРОВА</t>
  </si>
  <si>
    <t>ГУЛЬМИРА</t>
  </si>
  <si>
    <t>ЖАМАНТАЙКЫЗЫ</t>
  </si>
  <si>
    <t>КАБЫЛБАЕВ</t>
  </si>
  <si>
    <t>КАЙРАТ</t>
  </si>
  <si>
    <t>МАРАТОВИЧ</t>
  </si>
  <si>
    <t>высшая категория</t>
  </si>
  <si>
    <t>Подтверждено в 2020 году</t>
  </si>
  <si>
    <t>КАЗИЕВА</t>
  </si>
  <si>
    <t>ШИНАР</t>
  </si>
  <si>
    <t>учитель-дефектолог</t>
  </si>
  <si>
    <t>МУРАТ</t>
  </si>
  <si>
    <t>АЯНУР</t>
  </si>
  <si>
    <t>педагог группы/класса предшкольной подготовки</t>
  </si>
  <si>
    <t>ТКАЧЕНКО</t>
  </si>
  <si>
    <t>ДАВЫДОВНА</t>
  </si>
  <si>
    <t>Немцы</t>
  </si>
  <si>
    <t>КАКЕНОВА</t>
  </si>
  <si>
    <t>САБИНА</t>
  </si>
  <si>
    <t>БАУРЖАНОВНА</t>
  </si>
  <si>
    <t>БАТТАЛОВ</t>
  </si>
  <si>
    <t>МУБАРАКОВИЧ</t>
  </si>
  <si>
    <t>СКОСЫРСКАЯ</t>
  </si>
  <si>
    <t>МАРИНА</t>
  </si>
  <si>
    <t>ТУРИМОВА</t>
  </si>
  <si>
    <t>ЛАРИСА</t>
  </si>
  <si>
    <t>ДЖАНИЗАКОВНА</t>
  </si>
  <si>
    <t>Каракалпаки</t>
  </si>
  <si>
    <t>НУРБАЕВА</t>
  </si>
  <si>
    <t>ИНАБАТ</t>
  </si>
  <si>
    <t>БАУЫРЖАНОВНА</t>
  </si>
  <si>
    <t>БЕСЕМБАЕВА</t>
  </si>
  <si>
    <t>ЕВА</t>
  </si>
  <si>
    <t>НУРБОЛОВНА</t>
  </si>
  <si>
    <t>РАМАЗАНОВА</t>
  </si>
  <si>
    <t>ДИАНА</t>
  </si>
  <si>
    <t>НУРШАТКЫЗЫ</t>
  </si>
  <si>
    <t>БУЛАНБАЕВА</t>
  </si>
  <si>
    <t>АЖАР</t>
  </si>
  <si>
    <t>СЕРІКҚЫЗЫ</t>
  </si>
  <si>
    <t>КУРУМБАЕВА</t>
  </si>
  <si>
    <t>АСЕМГУЛЬ</t>
  </si>
  <si>
    <t>СЕИЛХАНОВНА</t>
  </si>
  <si>
    <t>БАКЫТ</t>
  </si>
  <si>
    <t>АЯУЛЫМ</t>
  </si>
  <si>
    <t>АМАНЖОЛКЫЗЫ</t>
  </si>
  <si>
    <t>КАУШЕВА</t>
  </si>
  <si>
    <t>САНДУГАШ</t>
  </si>
  <si>
    <t>ОЛЖАБАЕВНА</t>
  </si>
  <si>
    <t>первая категория</t>
  </si>
  <si>
    <t>Подтверждено в 2021 году</t>
  </si>
  <si>
    <t>АМИРГОЖИНА</t>
  </si>
  <si>
    <t>АРАЙЛЫМ</t>
  </si>
  <si>
    <t>ЖОМАРТҚЫЗЫ</t>
  </si>
  <si>
    <t>РАХМЕТУЛЛИНА</t>
  </si>
  <si>
    <t>ГУЛЬНАР</t>
  </si>
  <si>
    <t>ГУРНЫЙ</t>
  </si>
  <si>
    <t>АЛЕКСАНДР</t>
  </si>
  <si>
    <t>ПЕТРОВИЧ</t>
  </si>
  <si>
    <t>определенный</t>
  </si>
  <si>
    <t>IT специалист</t>
  </si>
  <si>
    <t>внешнее совмещение</t>
  </si>
  <si>
    <t>Высшее (профессиональное)</t>
  </si>
  <si>
    <t>САДВОКАСОВА</t>
  </si>
  <si>
    <t>АЛМА</t>
  </si>
  <si>
    <t>СЕРИКОВНА</t>
  </si>
  <si>
    <t>секретарь</t>
  </si>
  <si>
    <t>делопроизводитель</t>
  </si>
  <si>
    <t>САЙФУЛЛИН</t>
  </si>
  <si>
    <t>АЙТОЛҚЫН</t>
  </si>
  <si>
    <t>КАРИБУЛЛИН</t>
  </si>
  <si>
    <t>ФАРИТ</t>
  </si>
  <si>
    <t>ГАЛИМОВИЧ</t>
  </si>
  <si>
    <t>Татары</t>
  </si>
  <si>
    <t>ХАВСАМЕТ</t>
  </si>
  <si>
    <t>НУРГАЙЫП</t>
  </si>
  <si>
    <t>ПШЕНИЧНАЯ</t>
  </si>
  <si>
    <t>КСЕНИЯ</t>
  </si>
  <si>
    <t>АНДРЕЕВНА</t>
  </si>
  <si>
    <t>ХУАНЫШ</t>
  </si>
  <si>
    <t>ГУЛЗАДА</t>
  </si>
  <si>
    <t>ЫВРАЙ</t>
  </si>
  <si>
    <t>БОКЕНБАЙ</t>
  </si>
  <si>
    <t>плотник</t>
  </si>
  <si>
    <t>ЧЕРНОВ</t>
  </si>
  <si>
    <t>ОЛЕГ</t>
  </si>
  <si>
    <t>АЛЕКСАНДРОВИЧ</t>
  </si>
  <si>
    <t>электрик</t>
  </si>
  <si>
    <t>БАТТАЛОВА</t>
  </si>
  <si>
    <t>ЖАКИЯНОВНА</t>
  </si>
  <si>
    <t>заведующий библиотекой</t>
  </si>
  <si>
    <t>ЖАНЫБЕКОВ</t>
  </si>
  <si>
    <t>КАЗБЕК</t>
  </si>
  <si>
    <t>БЕКОВИЧ</t>
  </si>
  <si>
    <t>дворник</t>
  </si>
  <si>
    <t>АЙСЛУ</t>
  </si>
  <si>
    <t>НУРМУХАНБЕТОВНА</t>
  </si>
  <si>
    <t>АКЫЛБЕКОВА</t>
  </si>
  <si>
    <t>САУЛЕ</t>
  </si>
  <si>
    <t>МУХАМЕТАЛИКЫЗЫ</t>
  </si>
  <si>
    <t>заместитель директора по научно-методической работе</t>
  </si>
  <si>
    <t>САДВАКАСОВА</t>
  </si>
  <si>
    <t>ОЛЬЖАБАЕВНА</t>
  </si>
  <si>
    <t>ИСМАНОВА</t>
  </si>
  <si>
    <t>ЖУМАЖАНОВНА</t>
  </si>
  <si>
    <t>главный бухгалтер</t>
  </si>
  <si>
    <t>бухгалтер</t>
  </si>
  <si>
    <t>АМАРКУЛОВА</t>
  </si>
  <si>
    <t>ОНЛАНКУЛЬ</t>
  </si>
  <si>
    <t>ЖОЛДАБЕКОВНА</t>
  </si>
  <si>
    <t>АЯГАНОВ</t>
  </si>
  <si>
    <t>УСЕРБАЙ</t>
  </si>
  <si>
    <t>НУРГАЛИЕВИЧ</t>
  </si>
  <si>
    <t>ИМАНОВА</t>
  </si>
  <si>
    <t>УСЕНОВНА</t>
  </si>
  <si>
    <t>КАЙРКЕНОВА</t>
  </si>
  <si>
    <t>ГУЛЯ</t>
  </si>
  <si>
    <t>КАИРОЛЛОВНА</t>
  </si>
  <si>
    <t>АНАРА</t>
  </si>
  <si>
    <t>КАИРБЕКОВНА</t>
  </si>
  <si>
    <t>ШЕРМАГАНБЕТОВА</t>
  </si>
  <si>
    <t>САМАЛ</t>
  </si>
  <si>
    <t>ЗЕЙНУЛЛИНОВНА</t>
  </si>
  <si>
    <t>Присвоено в 2022 году</t>
  </si>
  <si>
    <t>АБДУРАЗЗАКОВА</t>
  </si>
  <si>
    <t>ГУЛДАНА</t>
  </si>
  <si>
    <t>АБДУХАЛИКОВНА</t>
  </si>
  <si>
    <t>БИГЕЛДИЕВА</t>
  </si>
  <si>
    <t>ТАЛАПОВНА</t>
  </si>
  <si>
    <t>КАППАСОВА</t>
  </si>
  <si>
    <t>АНАР</t>
  </si>
  <si>
    <t>МУГАДИЛОВНА</t>
  </si>
  <si>
    <t>ШОВКАНЬ</t>
  </si>
  <si>
    <t>АННА</t>
  </si>
  <si>
    <t>ТЫЩЕНКО</t>
  </si>
  <si>
    <t>АНАСТАСИЯ</t>
  </si>
  <si>
    <t>старший вожатый</t>
  </si>
  <si>
    <t>ЖУМАШЕВА</t>
  </si>
  <si>
    <t>ЛЯЗЗАТ</t>
  </si>
  <si>
    <t>ТУЛЕУОВНА</t>
  </si>
  <si>
    <t>НУРМАГАМБЕТОВА</t>
  </si>
  <si>
    <t>ДАЛЬМИРА</t>
  </si>
  <si>
    <t>НУРЛАНОВНА</t>
  </si>
  <si>
    <t>МУХАМЕДЖАРОВА</t>
  </si>
  <si>
    <t>БАЛТАБЕКОВНА</t>
  </si>
  <si>
    <t>АЛИМБАЕВА</t>
  </si>
  <si>
    <t>ЕВГЕНИЯ</t>
  </si>
  <si>
    <t>логопед</t>
  </si>
  <si>
    <t>АГЕЕВА</t>
  </si>
  <si>
    <t>НАТАЛЬЯ</t>
  </si>
  <si>
    <t>БАЛНУР</t>
  </si>
  <si>
    <t>МАЙРАМБЕКҚЫЗЫ</t>
  </si>
  <si>
    <t>лаборант</t>
  </si>
  <si>
    <t>ИСМАГУЛОВА</t>
  </si>
  <si>
    <t>РАЙХАН</t>
  </si>
  <si>
    <t>ДАУЛЕТХАНОВНА</t>
  </si>
  <si>
    <t>заместитель заведующего по хозяйственной части</t>
  </si>
  <si>
    <t>КАИРГЕЛЬДИНОВНА</t>
  </si>
  <si>
    <t>заведующий хозяйством</t>
  </si>
  <si>
    <t>ЭЛЬШАЙДТ</t>
  </si>
  <si>
    <t>ЮЛИЯ</t>
  </si>
  <si>
    <t>САЙ-МАГАМЕТОВНА</t>
  </si>
  <si>
    <t>РУСТЕМОВА</t>
  </si>
  <si>
    <t>ЖАЗИРА</t>
  </si>
  <si>
    <t>КУАНЫШОВНА</t>
  </si>
  <si>
    <t>РАХИМЖАНОВА</t>
  </si>
  <si>
    <t>КЫМБАТ</t>
  </si>
  <si>
    <t>СОВЕТОВНА</t>
  </si>
  <si>
    <t>КАИРБЕКОВ</t>
  </si>
  <si>
    <t>АМАНГЕЛЬДЫ</t>
  </si>
  <si>
    <t>ШАКЕНОВИЧ</t>
  </si>
  <si>
    <t>ШАХМЕТОВ</t>
  </si>
  <si>
    <t>БАЛАБЕК</t>
  </si>
  <si>
    <t>КАБДУАЛИЕВА</t>
  </si>
  <si>
    <t>МИРАМГУЛЬ</t>
  </si>
  <si>
    <t>ТЕНИСОВНА</t>
  </si>
  <si>
    <t>КАМИДОЛЛАЕВНА</t>
  </si>
  <si>
    <t>педагог-ассистент</t>
  </si>
  <si>
    <t>КАИРБАЕВА</t>
  </si>
  <si>
    <t>АРДАК</t>
  </si>
  <si>
    <t>СУЛТАНОВНА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</si>
</sst>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3"/>
  <sheetViews>
    <sheetView tabSelected="1" workbookViewId="0">
      <selection activeCell="AO1" sqref="AO1"/>
    </sheetView>
  </sheetViews>
  <sheetFormatPr defaultRowHeight="14.4" x14ac:dyDescent="0.3"/>
  <cols>
    <col min="2" max="2" width="9.88671875" customWidth="1"/>
    <col min="3" max="3" width="13.33203125" customWidth="1"/>
    <col min="4" max="4" width="15.109375" customWidth="1"/>
    <col min="5" max="5" width="14.6640625" customWidth="1"/>
    <col min="6" max="6" width="20.88671875" customWidth="1"/>
    <col min="7" max="7" width="13.21875" customWidth="1"/>
  </cols>
  <sheetData>
    <row r="1" spans="1:4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3">
      <c r="A2">
        <v>180512</v>
      </c>
      <c r="B2">
        <v>116929</v>
      </c>
      <c r="C2" t="str">
        <f>"920527450793"</f>
        <v>920527450793</v>
      </c>
      <c r="D2" t="s">
        <v>42</v>
      </c>
      <c r="E2" t="s">
        <v>43</v>
      </c>
      <c r="F2" t="s">
        <v>44</v>
      </c>
      <c r="G2" s="1">
        <v>33751</v>
      </c>
      <c r="H2" t="s">
        <v>45</v>
      </c>
      <c r="I2" t="s">
        <v>46</v>
      </c>
      <c r="J2" t="s">
        <v>47</v>
      </c>
      <c r="L2" t="s">
        <v>48</v>
      </c>
      <c r="M2" t="s">
        <v>49</v>
      </c>
      <c r="N2">
        <v>0</v>
      </c>
      <c r="O2" t="s">
        <v>50</v>
      </c>
      <c r="P2" t="s">
        <v>51</v>
      </c>
      <c r="Q2" t="s">
        <v>52</v>
      </c>
      <c r="U2" t="s">
        <v>53</v>
      </c>
      <c r="V2" t="s">
        <v>54</v>
      </c>
      <c r="W2" t="str">
        <f>"1"</f>
        <v>1</v>
      </c>
      <c r="X2" t="str">
        <f>"6"</f>
        <v>6</v>
      </c>
      <c r="Y2" t="str">
        <f>"4"</f>
        <v>4</v>
      </c>
      <c r="Z2" t="str">
        <f>"4"</f>
        <v>4</v>
      </c>
      <c r="AA2" t="str">
        <f>"5"</f>
        <v>5</v>
      </c>
      <c r="AB2" t="s">
        <v>55</v>
      </c>
      <c r="AE2" t="s">
        <v>56</v>
      </c>
      <c r="AG2" t="s">
        <v>57</v>
      </c>
      <c r="AH2" t="s">
        <v>58</v>
      </c>
      <c r="AI2">
        <v>0</v>
      </c>
      <c r="AJ2" t="str">
        <f>"[0]"</f>
        <v>[0]</v>
      </c>
      <c r="AK2" t="s">
        <v>54</v>
      </c>
      <c r="AL2">
        <v>0</v>
      </c>
    </row>
    <row r="3" spans="1:42" x14ac:dyDescent="0.3">
      <c r="A3">
        <v>180530</v>
      </c>
      <c r="B3">
        <v>155648</v>
      </c>
      <c r="C3" t="str">
        <f>"870722450791"</f>
        <v>870722450791</v>
      </c>
      <c r="D3" t="s">
        <v>60</v>
      </c>
      <c r="E3" t="s">
        <v>61</v>
      </c>
      <c r="F3" t="s">
        <v>62</v>
      </c>
      <c r="G3" s="1">
        <v>31980</v>
      </c>
      <c r="H3" t="s">
        <v>45</v>
      </c>
      <c r="I3" t="s">
        <v>46</v>
      </c>
      <c r="J3" t="s">
        <v>47</v>
      </c>
      <c r="L3" t="s">
        <v>64</v>
      </c>
      <c r="M3" t="s">
        <v>49</v>
      </c>
      <c r="N3">
        <v>1.5</v>
      </c>
      <c r="O3" t="s">
        <v>50</v>
      </c>
      <c r="P3" t="s">
        <v>51</v>
      </c>
      <c r="Q3" t="s">
        <v>52</v>
      </c>
      <c r="U3" t="s">
        <v>53</v>
      </c>
      <c r="V3" t="s">
        <v>54</v>
      </c>
      <c r="W3" t="str">
        <f>"4"</f>
        <v>4</v>
      </c>
      <c r="X3" t="str">
        <f>"11"</f>
        <v>11</v>
      </c>
      <c r="Y3" t="str">
        <f>"9"</f>
        <v>9</v>
      </c>
      <c r="Z3" t="str">
        <f>"9"</f>
        <v>9</v>
      </c>
      <c r="AA3" t="str">
        <f>"7"</f>
        <v>7</v>
      </c>
      <c r="AB3" t="s">
        <v>65</v>
      </c>
      <c r="AC3" t="s">
        <v>66</v>
      </c>
      <c r="AE3" t="s">
        <v>56</v>
      </c>
      <c r="AG3" t="s">
        <v>67</v>
      </c>
      <c r="AH3" t="s">
        <v>58</v>
      </c>
      <c r="AI3">
        <v>1.5</v>
      </c>
      <c r="AJ3" t="str">
        <f>"[24]"</f>
        <v>[24]</v>
      </c>
      <c r="AK3" t="s">
        <v>54</v>
      </c>
      <c r="AL3">
        <v>0</v>
      </c>
    </row>
    <row r="4" spans="1:42" x14ac:dyDescent="0.3">
      <c r="A4">
        <v>180578</v>
      </c>
      <c r="B4">
        <v>153295</v>
      </c>
      <c r="C4" t="str">
        <f>"840828450693"</f>
        <v>840828450693</v>
      </c>
      <c r="D4" t="s">
        <v>68</v>
      </c>
      <c r="E4" t="s">
        <v>69</v>
      </c>
      <c r="F4" t="s">
        <v>70</v>
      </c>
      <c r="G4" s="1">
        <v>30922</v>
      </c>
      <c r="H4" t="s">
        <v>45</v>
      </c>
      <c r="I4" t="s">
        <v>46</v>
      </c>
      <c r="J4" t="s">
        <v>47</v>
      </c>
      <c r="L4" t="s">
        <v>64</v>
      </c>
      <c r="M4" t="s">
        <v>71</v>
      </c>
      <c r="N4">
        <v>1</v>
      </c>
      <c r="O4" t="s">
        <v>50</v>
      </c>
      <c r="P4" t="s">
        <v>51</v>
      </c>
      <c r="Q4" t="s">
        <v>52</v>
      </c>
      <c r="U4" t="s">
        <v>53</v>
      </c>
      <c r="V4" t="s">
        <v>72</v>
      </c>
      <c r="W4" t="str">
        <f>"15"</f>
        <v>15</v>
      </c>
      <c r="X4" t="str">
        <f>"20"</f>
        <v>20</v>
      </c>
      <c r="Y4" t="str">
        <f>"15"</f>
        <v>15</v>
      </c>
      <c r="Z4" t="str">
        <f>"15"</f>
        <v>15</v>
      </c>
      <c r="AA4" t="str">
        <f>"5"</f>
        <v>5</v>
      </c>
      <c r="AB4" t="s">
        <v>73</v>
      </c>
      <c r="AC4" t="s">
        <v>74</v>
      </c>
      <c r="AE4" t="s">
        <v>56</v>
      </c>
      <c r="AK4" t="s">
        <v>54</v>
      </c>
      <c r="AL4">
        <v>0</v>
      </c>
    </row>
    <row r="5" spans="1:42" x14ac:dyDescent="0.3">
      <c r="A5">
        <v>180599</v>
      </c>
      <c r="B5">
        <v>155706</v>
      </c>
      <c r="C5" t="str">
        <f>"940218451676"</f>
        <v>940218451676</v>
      </c>
      <c r="D5" t="s">
        <v>76</v>
      </c>
      <c r="E5" t="s">
        <v>77</v>
      </c>
      <c r="F5" t="s">
        <v>78</v>
      </c>
      <c r="G5" s="1">
        <v>34383</v>
      </c>
      <c r="H5" t="s">
        <v>45</v>
      </c>
      <c r="I5" t="s">
        <v>46</v>
      </c>
      <c r="J5" t="s">
        <v>47</v>
      </c>
      <c r="L5" t="s">
        <v>64</v>
      </c>
      <c r="M5" t="s">
        <v>79</v>
      </c>
      <c r="N5">
        <v>1</v>
      </c>
      <c r="O5" t="s">
        <v>50</v>
      </c>
      <c r="P5" t="s">
        <v>51</v>
      </c>
      <c r="Q5" t="s">
        <v>52</v>
      </c>
      <c r="U5" t="s">
        <v>53</v>
      </c>
      <c r="V5" t="s">
        <v>54</v>
      </c>
      <c r="W5" t="str">
        <f>"0"</f>
        <v>0</v>
      </c>
      <c r="X5" t="str">
        <f>"7"</f>
        <v>7</v>
      </c>
      <c r="Y5" t="str">
        <f>"6"</f>
        <v>6</v>
      </c>
      <c r="Z5" t="str">
        <f>"6"</f>
        <v>6</v>
      </c>
      <c r="AA5" t="str">
        <f>"7"</f>
        <v>7</v>
      </c>
      <c r="AB5" t="s">
        <v>55</v>
      </c>
      <c r="AE5" t="s">
        <v>80</v>
      </c>
      <c r="AK5" t="s">
        <v>54</v>
      </c>
      <c r="AL5">
        <v>0</v>
      </c>
      <c r="AM5" t="s">
        <v>55</v>
      </c>
    </row>
    <row r="6" spans="1:42" x14ac:dyDescent="0.3">
      <c r="A6">
        <v>180605</v>
      </c>
      <c r="B6">
        <v>155711</v>
      </c>
      <c r="C6" t="str">
        <f>"911005401827"</f>
        <v>911005401827</v>
      </c>
      <c r="D6" t="s">
        <v>81</v>
      </c>
      <c r="E6" t="s">
        <v>82</v>
      </c>
      <c r="F6" t="s">
        <v>83</v>
      </c>
      <c r="G6" s="1">
        <v>33516</v>
      </c>
      <c r="H6" t="s">
        <v>45</v>
      </c>
      <c r="I6" t="s">
        <v>46</v>
      </c>
      <c r="J6" t="s">
        <v>47</v>
      </c>
      <c r="L6" t="s">
        <v>64</v>
      </c>
      <c r="M6" t="s">
        <v>49</v>
      </c>
      <c r="N6">
        <v>1.5</v>
      </c>
      <c r="O6" t="s">
        <v>50</v>
      </c>
      <c r="P6" t="s">
        <v>51</v>
      </c>
      <c r="Q6" t="s">
        <v>52</v>
      </c>
      <c r="U6" t="s">
        <v>53</v>
      </c>
      <c r="V6" t="s">
        <v>54</v>
      </c>
      <c r="W6" t="str">
        <f>"1"</f>
        <v>1</v>
      </c>
      <c r="X6" t="str">
        <f>"7"</f>
        <v>7</v>
      </c>
      <c r="Y6" t="str">
        <f>"7"</f>
        <v>7</v>
      </c>
      <c r="Z6" t="str">
        <f>"7"</f>
        <v>7</v>
      </c>
      <c r="AA6" t="str">
        <f>"6"</f>
        <v>6</v>
      </c>
      <c r="AB6" t="s">
        <v>55</v>
      </c>
      <c r="AE6" t="s">
        <v>84</v>
      </c>
      <c r="AG6" t="s">
        <v>85</v>
      </c>
      <c r="AH6" t="s">
        <v>58</v>
      </c>
      <c r="AI6">
        <v>1.5</v>
      </c>
      <c r="AJ6" t="str">
        <f>"[24]"</f>
        <v>[24]</v>
      </c>
      <c r="AK6" t="s">
        <v>54</v>
      </c>
      <c r="AL6">
        <v>0</v>
      </c>
    </row>
    <row r="7" spans="1:42" x14ac:dyDescent="0.3">
      <c r="A7">
        <v>180611</v>
      </c>
      <c r="B7">
        <v>155717</v>
      </c>
      <c r="C7" t="str">
        <f>"861026450868"</f>
        <v>861026450868</v>
      </c>
      <c r="D7" t="s">
        <v>86</v>
      </c>
      <c r="E7" t="s">
        <v>87</v>
      </c>
      <c r="F7" t="s">
        <v>88</v>
      </c>
      <c r="G7" s="1">
        <v>31711</v>
      </c>
      <c r="H7" t="s">
        <v>45</v>
      </c>
      <c r="I7" t="s">
        <v>89</v>
      </c>
      <c r="J7" t="s">
        <v>47</v>
      </c>
      <c r="L7" t="s">
        <v>64</v>
      </c>
      <c r="M7" t="s">
        <v>90</v>
      </c>
      <c r="N7">
        <v>1.5</v>
      </c>
      <c r="O7" t="s">
        <v>50</v>
      </c>
      <c r="P7" t="s">
        <v>51</v>
      </c>
      <c r="Q7" t="s">
        <v>91</v>
      </c>
      <c r="U7" t="s">
        <v>53</v>
      </c>
      <c r="V7" t="s">
        <v>54</v>
      </c>
      <c r="W7" t="str">
        <f>"7"</f>
        <v>7</v>
      </c>
      <c r="X7" t="str">
        <f>"13"</f>
        <v>13</v>
      </c>
      <c r="Y7" t="str">
        <f>"7"</f>
        <v>7</v>
      </c>
      <c r="Z7" t="str">
        <f>"7"</f>
        <v>7</v>
      </c>
      <c r="AA7" t="str">
        <f>"6"</f>
        <v>6</v>
      </c>
      <c r="AB7" t="s">
        <v>73</v>
      </c>
      <c r="AC7" t="s">
        <v>92</v>
      </c>
      <c r="AD7" t="s">
        <v>93</v>
      </c>
      <c r="AE7" t="s">
        <v>94</v>
      </c>
      <c r="AG7" t="s">
        <v>95</v>
      </c>
      <c r="AH7" t="s">
        <v>96</v>
      </c>
      <c r="AI7">
        <v>1.5</v>
      </c>
      <c r="AJ7" t="str">
        <f>"[24]"</f>
        <v>[24]</v>
      </c>
      <c r="AK7" t="s">
        <v>97</v>
      </c>
      <c r="AL7">
        <v>0.5</v>
      </c>
      <c r="AM7" t="s">
        <v>55</v>
      </c>
      <c r="AO7" t="s">
        <v>75</v>
      </c>
      <c r="AP7">
        <v>0</v>
      </c>
    </row>
    <row r="8" spans="1:42" x14ac:dyDescent="0.3">
      <c r="A8">
        <v>180632</v>
      </c>
      <c r="B8">
        <v>155731</v>
      </c>
      <c r="C8" t="str">
        <f>"741109401479"</f>
        <v>741109401479</v>
      </c>
      <c r="D8" t="s">
        <v>98</v>
      </c>
      <c r="E8" t="s">
        <v>99</v>
      </c>
      <c r="F8" t="s">
        <v>100</v>
      </c>
      <c r="G8" s="1">
        <v>27342</v>
      </c>
      <c r="H8" t="s">
        <v>45</v>
      </c>
      <c r="I8" t="s">
        <v>46</v>
      </c>
      <c r="J8" t="s">
        <v>47</v>
      </c>
      <c r="L8" t="s">
        <v>64</v>
      </c>
      <c r="M8" t="s">
        <v>101</v>
      </c>
      <c r="N8">
        <v>1</v>
      </c>
      <c r="O8" t="s">
        <v>50</v>
      </c>
      <c r="P8" t="s">
        <v>102</v>
      </c>
      <c r="Q8" t="s">
        <v>103</v>
      </c>
      <c r="U8" t="s">
        <v>53</v>
      </c>
      <c r="V8" t="s">
        <v>54</v>
      </c>
      <c r="W8" t="str">
        <f>"28"</f>
        <v>28</v>
      </c>
      <c r="X8" t="str">
        <f>"29"</f>
        <v>29</v>
      </c>
      <c r="Y8" t="str">
        <f>"28"</f>
        <v>28</v>
      </c>
      <c r="Z8" t="str">
        <f>"28"</f>
        <v>28</v>
      </c>
      <c r="AA8" t="str">
        <f>"1"</f>
        <v>1</v>
      </c>
      <c r="AB8" t="s">
        <v>104</v>
      </c>
      <c r="AC8" t="s">
        <v>105</v>
      </c>
      <c r="AD8" t="s">
        <v>106</v>
      </c>
      <c r="AE8" t="s">
        <v>80</v>
      </c>
      <c r="AG8" t="s">
        <v>95</v>
      </c>
      <c r="AH8" t="s">
        <v>58</v>
      </c>
      <c r="AI8">
        <v>0.5</v>
      </c>
      <c r="AJ8" t="str">
        <f>"[8]"</f>
        <v>[8]</v>
      </c>
      <c r="AK8" t="s">
        <v>54</v>
      </c>
      <c r="AL8">
        <v>0</v>
      </c>
    </row>
    <row r="9" spans="1:42" x14ac:dyDescent="0.3">
      <c r="A9">
        <v>180644</v>
      </c>
      <c r="B9">
        <v>155743</v>
      </c>
      <c r="C9" t="str">
        <f>"940708401435"</f>
        <v>940708401435</v>
      </c>
      <c r="D9" t="s">
        <v>107</v>
      </c>
      <c r="E9" t="s">
        <v>108</v>
      </c>
      <c r="F9" t="s">
        <v>70</v>
      </c>
      <c r="G9" s="1">
        <v>34523</v>
      </c>
      <c r="H9" t="s">
        <v>45</v>
      </c>
      <c r="I9" t="s">
        <v>46</v>
      </c>
      <c r="J9" t="s">
        <v>47</v>
      </c>
      <c r="L9" t="s">
        <v>64</v>
      </c>
      <c r="M9" t="s">
        <v>49</v>
      </c>
      <c r="N9">
        <v>1.1000000000000001</v>
      </c>
      <c r="O9" t="s">
        <v>50</v>
      </c>
      <c r="P9" t="s">
        <v>51</v>
      </c>
      <c r="Q9" t="s">
        <v>52</v>
      </c>
      <c r="U9" t="s">
        <v>53</v>
      </c>
      <c r="V9" t="s">
        <v>54</v>
      </c>
      <c r="W9" t="str">
        <f>"3"</f>
        <v>3</v>
      </c>
      <c r="X9" t="str">
        <f>"9"</f>
        <v>9</v>
      </c>
      <c r="Y9" t="str">
        <f>"9"</f>
        <v>9</v>
      </c>
      <c r="Z9" t="str">
        <f>"9"</f>
        <v>9</v>
      </c>
      <c r="AA9" t="str">
        <f>"6"</f>
        <v>6</v>
      </c>
      <c r="AB9" t="s">
        <v>65</v>
      </c>
      <c r="AC9" t="s">
        <v>74</v>
      </c>
      <c r="AE9" t="s">
        <v>56</v>
      </c>
      <c r="AG9" t="s">
        <v>67</v>
      </c>
      <c r="AH9" t="s">
        <v>58</v>
      </c>
      <c r="AI9">
        <v>1.1000000000000001</v>
      </c>
      <c r="AJ9" t="str">
        <f>"[18]"</f>
        <v>[18]</v>
      </c>
      <c r="AK9" t="s">
        <v>54</v>
      </c>
      <c r="AL9">
        <v>0</v>
      </c>
    </row>
    <row r="10" spans="1:42" x14ac:dyDescent="0.3">
      <c r="A10">
        <v>180653</v>
      </c>
      <c r="B10">
        <v>155749</v>
      </c>
      <c r="C10" t="str">
        <f>"670523450252"</f>
        <v>670523450252</v>
      </c>
      <c r="D10" t="s">
        <v>109</v>
      </c>
      <c r="E10" t="s">
        <v>110</v>
      </c>
      <c r="F10" t="s">
        <v>111</v>
      </c>
      <c r="G10" s="1">
        <v>24615</v>
      </c>
      <c r="H10" t="s">
        <v>45</v>
      </c>
      <c r="I10" t="s">
        <v>46</v>
      </c>
      <c r="J10" t="s">
        <v>47</v>
      </c>
      <c r="L10" t="s">
        <v>64</v>
      </c>
      <c r="M10" t="s">
        <v>49</v>
      </c>
      <c r="N10">
        <v>1.5</v>
      </c>
      <c r="O10" t="s">
        <v>50</v>
      </c>
      <c r="P10" t="s">
        <v>51</v>
      </c>
      <c r="Q10" t="s">
        <v>52</v>
      </c>
      <c r="U10" t="s">
        <v>53</v>
      </c>
      <c r="V10" t="s">
        <v>54</v>
      </c>
      <c r="W10" t="str">
        <f>"21"</f>
        <v>21</v>
      </c>
      <c r="X10" t="str">
        <f>"27"</f>
        <v>27</v>
      </c>
      <c r="Y10" t="str">
        <f>"27"</f>
        <v>27</v>
      </c>
      <c r="Z10" t="str">
        <f>"27"</f>
        <v>27</v>
      </c>
      <c r="AA10" t="str">
        <f>"6"</f>
        <v>6</v>
      </c>
      <c r="AB10" t="s">
        <v>65</v>
      </c>
      <c r="AC10" t="s">
        <v>105</v>
      </c>
      <c r="AE10" t="s">
        <v>94</v>
      </c>
      <c r="AG10" t="s">
        <v>67</v>
      </c>
      <c r="AH10" t="s">
        <v>58</v>
      </c>
      <c r="AI10">
        <v>1.5</v>
      </c>
      <c r="AJ10" t="str">
        <f>"[24]"</f>
        <v>[24]</v>
      </c>
      <c r="AK10" t="s">
        <v>54</v>
      </c>
      <c r="AL10">
        <v>0</v>
      </c>
    </row>
    <row r="11" spans="1:42" x14ac:dyDescent="0.3">
      <c r="A11">
        <v>180661</v>
      </c>
      <c r="B11">
        <v>155756</v>
      </c>
      <c r="C11" t="str">
        <f>"830202450182"</f>
        <v>830202450182</v>
      </c>
      <c r="D11" t="s">
        <v>112</v>
      </c>
      <c r="E11" t="s">
        <v>113</v>
      </c>
      <c r="F11" t="s">
        <v>114</v>
      </c>
      <c r="G11" s="1">
        <v>30349</v>
      </c>
      <c r="H11" t="s">
        <v>45</v>
      </c>
      <c r="I11" t="s">
        <v>115</v>
      </c>
      <c r="J11" t="s">
        <v>47</v>
      </c>
      <c r="L11" t="s">
        <v>64</v>
      </c>
      <c r="M11" t="s">
        <v>79</v>
      </c>
      <c r="N11">
        <v>1</v>
      </c>
      <c r="O11" t="s">
        <v>50</v>
      </c>
      <c r="P11" t="s">
        <v>51</v>
      </c>
      <c r="Q11" t="s">
        <v>52</v>
      </c>
      <c r="U11" t="s">
        <v>53</v>
      </c>
      <c r="V11" t="s">
        <v>54</v>
      </c>
      <c r="W11" t="str">
        <f>"9"</f>
        <v>9</v>
      </c>
      <c r="X11" t="str">
        <f>"15"</f>
        <v>15</v>
      </c>
      <c r="Y11" t="str">
        <f>"12"</f>
        <v>12</v>
      </c>
      <c r="Z11" t="str">
        <f>"12"</f>
        <v>12</v>
      </c>
      <c r="AA11" t="str">
        <f>"6"</f>
        <v>6</v>
      </c>
      <c r="AB11" t="s">
        <v>73</v>
      </c>
      <c r="AC11" t="s">
        <v>92</v>
      </c>
      <c r="AE11" t="s">
        <v>94</v>
      </c>
      <c r="AK11" t="s">
        <v>116</v>
      </c>
      <c r="AL11">
        <v>0.5</v>
      </c>
    </row>
    <row r="12" spans="1:42" x14ac:dyDescent="0.3">
      <c r="A12">
        <v>180685</v>
      </c>
      <c r="B12">
        <v>155776</v>
      </c>
      <c r="C12" t="str">
        <f>"950614450711"</f>
        <v>950614450711</v>
      </c>
      <c r="D12" t="s">
        <v>117</v>
      </c>
      <c r="E12" t="s">
        <v>118</v>
      </c>
      <c r="F12" t="s">
        <v>119</v>
      </c>
      <c r="G12" s="1">
        <v>34864</v>
      </c>
      <c r="H12" t="s">
        <v>45</v>
      </c>
      <c r="I12" t="s">
        <v>46</v>
      </c>
      <c r="J12" t="s">
        <v>47</v>
      </c>
      <c r="L12" t="s">
        <v>48</v>
      </c>
      <c r="M12" t="s">
        <v>49</v>
      </c>
      <c r="N12">
        <v>0</v>
      </c>
      <c r="O12" t="s">
        <v>50</v>
      </c>
      <c r="P12" t="s">
        <v>51</v>
      </c>
      <c r="Q12" t="s">
        <v>52</v>
      </c>
      <c r="U12" t="s">
        <v>53</v>
      </c>
      <c r="V12" t="s">
        <v>54</v>
      </c>
      <c r="W12" t="str">
        <f>"0"</f>
        <v>0</v>
      </c>
      <c r="X12" t="str">
        <f>"5"</f>
        <v>5</v>
      </c>
      <c r="Y12" t="str">
        <f>"3"</f>
        <v>3</v>
      </c>
      <c r="Z12" t="str">
        <f>"3"</f>
        <v>3</v>
      </c>
      <c r="AA12" t="str">
        <f>"5"</f>
        <v>5</v>
      </c>
      <c r="AB12" t="s">
        <v>73</v>
      </c>
      <c r="AC12" t="s">
        <v>66</v>
      </c>
      <c r="AE12" t="s">
        <v>94</v>
      </c>
      <c r="AG12" t="s">
        <v>120</v>
      </c>
      <c r="AH12" t="s">
        <v>58</v>
      </c>
      <c r="AI12">
        <v>0</v>
      </c>
      <c r="AJ12" t="str">
        <f>"[0]"</f>
        <v>[0]</v>
      </c>
      <c r="AK12" t="s">
        <v>54</v>
      </c>
      <c r="AL12">
        <v>0</v>
      </c>
    </row>
    <row r="13" spans="1:42" x14ac:dyDescent="0.3">
      <c r="A13">
        <v>180703</v>
      </c>
      <c r="B13">
        <v>155790</v>
      </c>
      <c r="C13" t="str">
        <f>"960928451372"</f>
        <v>960928451372</v>
      </c>
      <c r="D13" t="s">
        <v>121</v>
      </c>
      <c r="E13" t="s">
        <v>122</v>
      </c>
      <c r="F13" t="s">
        <v>114</v>
      </c>
      <c r="G13" s="1">
        <v>35336</v>
      </c>
      <c r="H13" t="s">
        <v>45</v>
      </c>
      <c r="I13" t="s">
        <v>89</v>
      </c>
      <c r="J13" t="s">
        <v>47</v>
      </c>
      <c r="L13" t="s">
        <v>64</v>
      </c>
      <c r="M13" t="s">
        <v>90</v>
      </c>
      <c r="N13">
        <v>1.1000000000000001</v>
      </c>
      <c r="O13" t="s">
        <v>50</v>
      </c>
      <c r="P13" t="s">
        <v>51</v>
      </c>
      <c r="Q13" t="s">
        <v>52</v>
      </c>
      <c r="U13" t="s">
        <v>53</v>
      </c>
      <c r="V13" t="s">
        <v>54</v>
      </c>
      <c r="W13" t="str">
        <f>"0"</f>
        <v>0</v>
      </c>
      <c r="X13" t="str">
        <f>"5"</f>
        <v>5</v>
      </c>
      <c r="Y13" t="str">
        <f>"5"</f>
        <v>5</v>
      </c>
      <c r="Z13" t="str">
        <f>"5"</f>
        <v>5</v>
      </c>
      <c r="AA13" t="str">
        <f>"5"</f>
        <v>5</v>
      </c>
      <c r="AB13" t="s">
        <v>55</v>
      </c>
      <c r="AE13" t="s">
        <v>94</v>
      </c>
      <c r="AG13" t="s">
        <v>95</v>
      </c>
      <c r="AH13" t="s">
        <v>58</v>
      </c>
      <c r="AI13">
        <v>1.1000000000000001</v>
      </c>
      <c r="AJ13" t="str">
        <f>"[19]"</f>
        <v>[19]</v>
      </c>
      <c r="AK13" t="s">
        <v>54</v>
      </c>
      <c r="AL13">
        <v>0</v>
      </c>
    </row>
    <row r="14" spans="1:42" x14ac:dyDescent="0.3">
      <c r="A14">
        <v>180710</v>
      </c>
      <c r="B14">
        <v>155797</v>
      </c>
      <c r="C14" t="str">
        <f>"941204451266"</f>
        <v>941204451266</v>
      </c>
      <c r="D14" t="s">
        <v>123</v>
      </c>
      <c r="E14" t="s">
        <v>108</v>
      </c>
      <c r="F14" t="s">
        <v>124</v>
      </c>
      <c r="G14" s="1">
        <v>34672</v>
      </c>
      <c r="H14" t="s">
        <v>45</v>
      </c>
      <c r="I14" t="s">
        <v>46</v>
      </c>
      <c r="J14" t="s">
        <v>47</v>
      </c>
      <c r="L14" t="s">
        <v>64</v>
      </c>
      <c r="M14" t="s">
        <v>49</v>
      </c>
      <c r="N14">
        <v>1.5</v>
      </c>
      <c r="O14" t="s">
        <v>50</v>
      </c>
      <c r="P14" t="s">
        <v>51</v>
      </c>
      <c r="Q14" t="s">
        <v>52</v>
      </c>
      <c r="U14" t="s">
        <v>53</v>
      </c>
      <c r="V14" t="s">
        <v>54</v>
      </c>
      <c r="W14" t="str">
        <f>"1"</f>
        <v>1</v>
      </c>
      <c r="X14" t="str">
        <f>"7"</f>
        <v>7</v>
      </c>
      <c r="Y14" t="str">
        <f>"6"</f>
        <v>6</v>
      </c>
      <c r="Z14" t="str">
        <f>"6"</f>
        <v>6</v>
      </c>
      <c r="AA14" t="str">
        <f>"6"</f>
        <v>6</v>
      </c>
      <c r="AB14" t="s">
        <v>73</v>
      </c>
      <c r="AC14" t="s">
        <v>105</v>
      </c>
      <c r="AE14" t="s">
        <v>56</v>
      </c>
      <c r="AG14" t="s">
        <v>67</v>
      </c>
      <c r="AH14" t="s">
        <v>58</v>
      </c>
      <c r="AI14">
        <v>1.5</v>
      </c>
      <c r="AJ14" t="str">
        <f>"[24]"</f>
        <v>[24]</v>
      </c>
      <c r="AK14" t="s">
        <v>54</v>
      </c>
      <c r="AL14">
        <v>0</v>
      </c>
    </row>
    <row r="15" spans="1:42" x14ac:dyDescent="0.3">
      <c r="A15">
        <v>180730</v>
      </c>
      <c r="B15">
        <v>155812</v>
      </c>
      <c r="C15" t="str">
        <f>"470702450302"</f>
        <v>470702450302</v>
      </c>
      <c r="D15" t="s">
        <v>125</v>
      </c>
      <c r="E15" t="s">
        <v>126</v>
      </c>
      <c r="F15" t="s">
        <v>127</v>
      </c>
      <c r="G15" s="1">
        <v>17350</v>
      </c>
      <c r="H15" t="s">
        <v>45</v>
      </c>
      <c r="I15" t="s">
        <v>89</v>
      </c>
      <c r="J15" t="s">
        <v>47</v>
      </c>
      <c r="L15" t="s">
        <v>64</v>
      </c>
      <c r="M15" t="s">
        <v>49</v>
      </c>
      <c r="N15">
        <v>0.6</v>
      </c>
      <c r="O15" t="s">
        <v>50</v>
      </c>
      <c r="P15" t="s">
        <v>51</v>
      </c>
      <c r="Q15" t="s">
        <v>52</v>
      </c>
      <c r="U15" t="s">
        <v>53</v>
      </c>
      <c r="V15" t="s">
        <v>54</v>
      </c>
      <c r="W15" t="str">
        <f>"16"</f>
        <v>16</v>
      </c>
      <c r="X15" t="str">
        <f>"54"</f>
        <v>54</v>
      </c>
      <c r="Y15" t="str">
        <f>"53"</f>
        <v>53</v>
      </c>
      <c r="Z15" t="str">
        <f>"53"</f>
        <v>53</v>
      </c>
      <c r="AA15" t="str">
        <f>"38"</f>
        <v>38</v>
      </c>
      <c r="AB15" t="s">
        <v>55</v>
      </c>
      <c r="AE15" t="s">
        <v>94</v>
      </c>
      <c r="AG15" t="s">
        <v>128</v>
      </c>
      <c r="AH15" t="s">
        <v>58</v>
      </c>
      <c r="AI15">
        <v>0.6</v>
      </c>
      <c r="AJ15" t="str">
        <f>"[10]"</f>
        <v>[10]</v>
      </c>
      <c r="AK15" t="s">
        <v>54</v>
      </c>
      <c r="AL15">
        <v>0</v>
      </c>
    </row>
    <row r="16" spans="1:42" x14ac:dyDescent="0.3">
      <c r="A16">
        <v>180763</v>
      </c>
      <c r="B16">
        <v>155834</v>
      </c>
      <c r="C16" t="str">
        <f>"620825401910"</f>
        <v>620825401910</v>
      </c>
      <c r="D16" t="s">
        <v>129</v>
      </c>
      <c r="E16" t="s">
        <v>130</v>
      </c>
      <c r="F16" t="s">
        <v>131</v>
      </c>
      <c r="G16" s="1">
        <v>22883</v>
      </c>
      <c r="H16" t="s">
        <v>45</v>
      </c>
      <c r="I16" t="s">
        <v>115</v>
      </c>
      <c r="J16" t="s">
        <v>47</v>
      </c>
      <c r="L16" t="s">
        <v>64</v>
      </c>
      <c r="M16" t="s">
        <v>90</v>
      </c>
      <c r="N16">
        <v>1.1000000000000001</v>
      </c>
      <c r="O16" t="s">
        <v>50</v>
      </c>
      <c r="P16" t="s">
        <v>51</v>
      </c>
      <c r="Q16" t="s">
        <v>52</v>
      </c>
      <c r="U16" t="s">
        <v>53</v>
      </c>
      <c r="V16" t="s">
        <v>54</v>
      </c>
      <c r="W16" t="str">
        <f>"10"</f>
        <v>10</v>
      </c>
      <c r="X16" t="str">
        <f>"40"</f>
        <v>40</v>
      </c>
      <c r="Y16" t="str">
        <f>"40"</f>
        <v>40</v>
      </c>
      <c r="Z16" t="str">
        <f>"40"</f>
        <v>40</v>
      </c>
      <c r="AA16" t="str">
        <f>"30"</f>
        <v>30</v>
      </c>
      <c r="AB16" t="s">
        <v>55</v>
      </c>
      <c r="AC16" t="s">
        <v>132</v>
      </c>
      <c r="AE16" t="s">
        <v>94</v>
      </c>
      <c r="AG16" t="s">
        <v>95</v>
      </c>
      <c r="AH16" t="s">
        <v>58</v>
      </c>
      <c r="AI16">
        <v>1.1000000000000001</v>
      </c>
      <c r="AJ16" t="str">
        <f>"[18]"</f>
        <v>[18]</v>
      </c>
      <c r="AK16" t="s">
        <v>54</v>
      </c>
      <c r="AL16">
        <v>0</v>
      </c>
    </row>
    <row r="17" spans="1:42" x14ac:dyDescent="0.3">
      <c r="A17">
        <v>180770</v>
      </c>
      <c r="B17">
        <v>155837</v>
      </c>
      <c r="C17" t="str">
        <f>"670308401245"</f>
        <v>670308401245</v>
      </c>
      <c r="D17" t="s">
        <v>133</v>
      </c>
      <c r="E17" t="s">
        <v>134</v>
      </c>
      <c r="F17" t="s">
        <v>135</v>
      </c>
      <c r="G17" s="1">
        <v>24539</v>
      </c>
      <c r="H17" t="s">
        <v>45</v>
      </c>
      <c r="I17" t="s">
        <v>115</v>
      </c>
      <c r="J17" t="s">
        <v>47</v>
      </c>
      <c r="L17" t="s">
        <v>64</v>
      </c>
      <c r="M17" t="s">
        <v>49</v>
      </c>
      <c r="N17">
        <v>1.5</v>
      </c>
      <c r="O17" t="s">
        <v>50</v>
      </c>
      <c r="P17" t="s">
        <v>51</v>
      </c>
      <c r="Q17" t="s">
        <v>52</v>
      </c>
      <c r="U17" t="s">
        <v>53</v>
      </c>
      <c r="V17" t="s">
        <v>54</v>
      </c>
      <c r="W17" t="str">
        <f>"3"</f>
        <v>3</v>
      </c>
      <c r="X17" t="str">
        <f>"34"</f>
        <v>34</v>
      </c>
      <c r="Y17" t="str">
        <f>"33"</f>
        <v>33</v>
      </c>
      <c r="Z17" t="str">
        <f>"33"</f>
        <v>33</v>
      </c>
      <c r="AA17" t="str">
        <f>"31"</f>
        <v>31</v>
      </c>
      <c r="AB17" t="s">
        <v>65</v>
      </c>
      <c r="AC17" t="s">
        <v>105</v>
      </c>
      <c r="AE17" t="s">
        <v>94</v>
      </c>
      <c r="AG17" t="s">
        <v>136</v>
      </c>
      <c r="AH17" t="s">
        <v>58</v>
      </c>
      <c r="AI17">
        <v>1.5</v>
      </c>
      <c r="AJ17" t="str">
        <f>"[24]"</f>
        <v>[24]</v>
      </c>
      <c r="AK17" t="s">
        <v>54</v>
      </c>
      <c r="AL17">
        <v>0</v>
      </c>
    </row>
    <row r="18" spans="1:42" x14ac:dyDescent="0.3">
      <c r="A18">
        <v>180791</v>
      </c>
      <c r="B18">
        <v>155856</v>
      </c>
      <c r="C18" t="str">
        <f>"630215450032"</f>
        <v>630215450032</v>
      </c>
      <c r="D18" t="s">
        <v>137</v>
      </c>
      <c r="E18" t="s">
        <v>138</v>
      </c>
      <c r="F18" t="s">
        <v>139</v>
      </c>
      <c r="G18" s="1">
        <v>23057</v>
      </c>
      <c r="H18" t="s">
        <v>45</v>
      </c>
      <c r="I18" t="s">
        <v>46</v>
      </c>
      <c r="J18" t="s">
        <v>47</v>
      </c>
      <c r="L18" t="s">
        <v>64</v>
      </c>
      <c r="M18" t="s">
        <v>49</v>
      </c>
      <c r="N18">
        <v>1.5</v>
      </c>
      <c r="O18" t="s">
        <v>50</v>
      </c>
      <c r="P18" t="s">
        <v>51</v>
      </c>
      <c r="Q18" t="s">
        <v>52</v>
      </c>
      <c r="U18" t="s">
        <v>53</v>
      </c>
      <c r="V18" t="s">
        <v>54</v>
      </c>
      <c r="W18" t="str">
        <f>"0"</f>
        <v>0</v>
      </c>
      <c r="X18" t="str">
        <f>"36"</f>
        <v>36</v>
      </c>
      <c r="Y18" t="str">
        <f>"36"</f>
        <v>36</v>
      </c>
      <c r="Z18" t="str">
        <f>"36"</f>
        <v>36</v>
      </c>
      <c r="AA18" t="str">
        <f>"36"</f>
        <v>36</v>
      </c>
      <c r="AB18" t="s">
        <v>104</v>
      </c>
      <c r="AC18" t="s">
        <v>105</v>
      </c>
      <c r="AE18" t="s">
        <v>94</v>
      </c>
      <c r="AG18" t="s">
        <v>140</v>
      </c>
      <c r="AH18" t="s">
        <v>58</v>
      </c>
      <c r="AI18">
        <v>1.5</v>
      </c>
      <c r="AJ18" t="str">
        <f>"[24]"</f>
        <v>[24]</v>
      </c>
      <c r="AK18" t="s">
        <v>54</v>
      </c>
      <c r="AL18">
        <v>0</v>
      </c>
    </row>
    <row r="19" spans="1:42" x14ac:dyDescent="0.3">
      <c r="A19">
        <v>180818</v>
      </c>
      <c r="B19">
        <v>155880</v>
      </c>
      <c r="C19" t="str">
        <f>"620817450132"</f>
        <v>620817450132</v>
      </c>
      <c r="D19" t="s">
        <v>141</v>
      </c>
      <c r="E19" t="s">
        <v>142</v>
      </c>
      <c r="F19" t="s">
        <v>143</v>
      </c>
      <c r="G19" s="1">
        <v>22875</v>
      </c>
      <c r="H19" t="s">
        <v>45</v>
      </c>
      <c r="I19" t="s">
        <v>89</v>
      </c>
      <c r="J19" t="s">
        <v>47</v>
      </c>
      <c r="L19" t="s">
        <v>64</v>
      </c>
      <c r="M19" t="s">
        <v>49</v>
      </c>
      <c r="N19">
        <v>1.5</v>
      </c>
      <c r="O19" t="s">
        <v>50</v>
      </c>
      <c r="P19" t="s">
        <v>51</v>
      </c>
      <c r="Q19" t="s">
        <v>52</v>
      </c>
      <c r="U19" t="s">
        <v>53</v>
      </c>
      <c r="V19" t="s">
        <v>54</v>
      </c>
      <c r="W19" t="str">
        <f>"3"</f>
        <v>3</v>
      </c>
      <c r="X19" t="str">
        <f>"39"</f>
        <v>39</v>
      </c>
      <c r="Y19" t="str">
        <f>"39"</f>
        <v>39</v>
      </c>
      <c r="Z19" t="str">
        <f>"39"</f>
        <v>39</v>
      </c>
      <c r="AA19" t="str">
        <f>"36"</f>
        <v>36</v>
      </c>
      <c r="AB19" t="s">
        <v>55</v>
      </c>
      <c r="AC19" t="s">
        <v>132</v>
      </c>
      <c r="AE19" t="s">
        <v>94</v>
      </c>
      <c r="AG19" t="s">
        <v>128</v>
      </c>
      <c r="AH19" t="s">
        <v>58</v>
      </c>
      <c r="AI19">
        <v>1.5</v>
      </c>
      <c r="AJ19" t="str">
        <f>"[24]"</f>
        <v>[24]</v>
      </c>
      <c r="AK19" t="s">
        <v>54</v>
      </c>
      <c r="AL19">
        <v>0</v>
      </c>
    </row>
    <row r="20" spans="1:42" x14ac:dyDescent="0.3">
      <c r="A20">
        <v>180851</v>
      </c>
      <c r="B20">
        <v>155905</v>
      </c>
      <c r="C20" t="str">
        <f>"650117401451"</f>
        <v>650117401451</v>
      </c>
      <c r="D20" t="s">
        <v>144</v>
      </c>
      <c r="E20" t="s">
        <v>145</v>
      </c>
      <c r="F20" t="s">
        <v>146</v>
      </c>
      <c r="G20" s="1">
        <v>23759</v>
      </c>
      <c r="H20" t="s">
        <v>45</v>
      </c>
      <c r="I20" t="s">
        <v>89</v>
      </c>
      <c r="J20" t="s">
        <v>47</v>
      </c>
      <c r="L20" t="s">
        <v>64</v>
      </c>
      <c r="M20" t="s">
        <v>90</v>
      </c>
      <c r="N20">
        <v>1.4</v>
      </c>
      <c r="O20" t="s">
        <v>50</v>
      </c>
      <c r="P20" t="s">
        <v>51</v>
      </c>
      <c r="Q20" t="s">
        <v>52</v>
      </c>
      <c r="U20" t="s">
        <v>53</v>
      </c>
      <c r="V20" t="s">
        <v>54</v>
      </c>
      <c r="W20" t="str">
        <f>"1"</f>
        <v>1</v>
      </c>
      <c r="X20" t="str">
        <f>"37"</f>
        <v>37</v>
      </c>
      <c r="Y20" t="str">
        <f>"37"</f>
        <v>37</v>
      </c>
      <c r="Z20" t="str">
        <f>"37"</f>
        <v>37</v>
      </c>
      <c r="AA20" t="str">
        <f>"36"</f>
        <v>36</v>
      </c>
      <c r="AB20" t="s">
        <v>65</v>
      </c>
      <c r="AC20" t="s">
        <v>74</v>
      </c>
      <c r="AE20" t="s">
        <v>94</v>
      </c>
      <c r="AG20" t="s">
        <v>95</v>
      </c>
      <c r="AH20" t="s">
        <v>58</v>
      </c>
      <c r="AI20">
        <v>1.4</v>
      </c>
      <c r="AJ20" t="str">
        <f>"[21]"</f>
        <v>[21]</v>
      </c>
      <c r="AK20" t="s">
        <v>54</v>
      </c>
      <c r="AL20">
        <v>0</v>
      </c>
    </row>
    <row r="21" spans="1:42" x14ac:dyDescent="0.3">
      <c r="A21">
        <v>180876</v>
      </c>
      <c r="B21">
        <v>155920</v>
      </c>
      <c r="C21" t="str">
        <f>"630329450339"</f>
        <v>630329450339</v>
      </c>
      <c r="D21" t="s">
        <v>147</v>
      </c>
      <c r="E21" t="s">
        <v>113</v>
      </c>
      <c r="F21" t="s">
        <v>143</v>
      </c>
      <c r="G21" s="1">
        <v>23099</v>
      </c>
      <c r="H21" t="s">
        <v>45</v>
      </c>
      <c r="I21" t="s">
        <v>89</v>
      </c>
      <c r="J21" t="s">
        <v>47</v>
      </c>
      <c r="L21" t="s">
        <v>64</v>
      </c>
      <c r="M21" t="s">
        <v>90</v>
      </c>
      <c r="N21">
        <v>1.3</v>
      </c>
      <c r="O21" t="s">
        <v>50</v>
      </c>
      <c r="P21" t="s">
        <v>51</v>
      </c>
      <c r="Q21" t="s">
        <v>52</v>
      </c>
      <c r="U21" t="s">
        <v>53</v>
      </c>
      <c r="V21" t="s">
        <v>54</v>
      </c>
      <c r="W21" t="str">
        <f>"0"</f>
        <v>0</v>
      </c>
      <c r="X21" t="str">
        <f>"39"</f>
        <v>39</v>
      </c>
      <c r="Y21" t="str">
        <f>"39"</f>
        <v>39</v>
      </c>
      <c r="Z21" t="str">
        <f>"39"</f>
        <v>39</v>
      </c>
      <c r="AA21" t="str">
        <f>"39"</f>
        <v>39</v>
      </c>
      <c r="AB21" t="s">
        <v>65</v>
      </c>
      <c r="AC21" t="s">
        <v>92</v>
      </c>
      <c r="AE21" t="s">
        <v>94</v>
      </c>
      <c r="AG21" t="s">
        <v>95</v>
      </c>
      <c r="AH21" t="s">
        <v>58</v>
      </c>
      <c r="AI21">
        <v>1.3</v>
      </c>
      <c r="AJ21" t="str">
        <f>"[20]"</f>
        <v>[20]</v>
      </c>
      <c r="AK21" t="s">
        <v>54</v>
      </c>
      <c r="AL21">
        <v>0</v>
      </c>
    </row>
    <row r="22" spans="1:42" x14ac:dyDescent="0.3">
      <c r="A22">
        <v>180889</v>
      </c>
      <c r="B22">
        <v>155930</v>
      </c>
      <c r="C22" t="str">
        <f>"731112450303"</f>
        <v>731112450303</v>
      </c>
      <c r="D22" t="s">
        <v>148</v>
      </c>
      <c r="E22" t="s">
        <v>149</v>
      </c>
      <c r="F22" t="s">
        <v>150</v>
      </c>
      <c r="G22" s="1">
        <v>26980</v>
      </c>
      <c r="H22" t="s">
        <v>45</v>
      </c>
      <c r="I22" t="s">
        <v>151</v>
      </c>
      <c r="J22" t="s">
        <v>47</v>
      </c>
      <c r="L22" t="s">
        <v>64</v>
      </c>
      <c r="M22" t="s">
        <v>49</v>
      </c>
      <c r="N22">
        <v>1.5</v>
      </c>
      <c r="O22" t="s">
        <v>50</v>
      </c>
      <c r="P22" t="s">
        <v>51</v>
      </c>
      <c r="Q22" t="s">
        <v>52</v>
      </c>
      <c r="U22" t="s">
        <v>53</v>
      </c>
      <c r="V22" t="s">
        <v>54</v>
      </c>
      <c r="W22" t="str">
        <f>"15"</f>
        <v>15</v>
      </c>
      <c r="X22" t="str">
        <f>"33"</f>
        <v>33</v>
      </c>
      <c r="Y22" t="str">
        <f>"33"</f>
        <v>33</v>
      </c>
      <c r="Z22" t="str">
        <f>"33"</f>
        <v>33</v>
      </c>
      <c r="AA22" t="str">
        <f>"18"</f>
        <v>18</v>
      </c>
      <c r="AB22" t="s">
        <v>73</v>
      </c>
      <c r="AC22" t="s">
        <v>105</v>
      </c>
      <c r="AE22" t="s">
        <v>94</v>
      </c>
      <c r="AG22" t="s">
        <v>152</v>
      </c>
      <c r="AH22" t="s">
        <v>58</v>
      </c>
      <c r="AI22">
        <v>1.5</v>
      </c>
      <c r="AJ22" t="str">
        <f>"[24]"</f>
        <v>[24]</v>
      </c>
      <c r="AK22" t="s">
        <v>54</v>
      </c>
      <c r="AL22">
        <v>0</v>
      </c>
    </row>
    <row r="23" spans="1:42" x14ac:dyDescent="0.3">
      <c r="A23">
        <v>180902</v>
      </c>
      <c r="B23">
        <v>155939</v>
      </c>
      <c r="C23" t="str">
        <f>"681117401648"</f>
        <v>681117401648</v>
      </c>
      <c r="D23" t="s">
        <v>153</v>
      </c>
      <c r="E23" t="s">
        <v>145</v>
      </c>
      <c r="F23" t="s">
        <v>154</v>
      </c>
      <c r="G23" s="1">
        <v>25159</v>
      </c>
      <c r="H23" t="s">
        <v>45</v>
      </c>
      <c r="I23" t="s">
        <v>89</v>
      </c>
      <c r="J23" t="s">
        <v>47</v>
      </c>
      <c r="L23" t="s">
        <v>64</v>
      </c>
      <c r="M23" t="s">
        <v>90</v>
      </c>
      <c r="N23">
        <v>1.1000000000000001</v>
      </c>
      <c r="O23" t="s">
        <v>50</v>
      </c>
      <c r="P23" t="s">
        <v>51</v>
      </c>
      <c r="Q23" t="s">
        <v>91</v>
      </c>
      <c r="U23" t="s">
        <v>53</v>
      </c>
      <c r="V23" t="s">
        <v>54</v>
      </c>
      <c r="W23" t="str">
        <f>"10"</f>
        <v>10</v>
      </c>
      <c r="X23" t="str">
        <f>"28"</f>
        <v>28</v>
      </c>
      <c r="Y23" t="str">
        <f>"18"</f>
        <v>18</v>
      </c>
      <c r="Z23" t="str">
        <f>"18"</f>
        <v>18</v>
      </c>
      <c r="AA23" t="str">
        <f>"18"</f>
        <v>18</v>
      </c>
      <c r="AB23" t="s">
        <v>73</v>
      </c>
      <c r="AC23" t="s">
        <v>105</v>
      </c>
      <c r="AE23" t="s">
        <v>94</v>
      </c>
      <c r="AG23" t="s">
        <v>95</v>
      </c>
      <c r="AH23" t="s">
        <v>96</v>
      </c>
      <c r="AI23">
        <v>1.1000000000000001</v>
      </c>
      <c r="AJ23" t="str">
        <f>"[17]"</f>
        <v>[17]</v>
      </c>
      <c r="AK23" t="s">
        <v>54</v>
      </c>
      <c r="AL23">
        <v>0</v>
      </c>
    </row>
    <row r="24" spans="1:42" x14ac:dyDescent="0.3">
      <c r="A24">
        <v>180908</v>
      </c>
      <c r="B24">
        <v>155942</v>
      </c>
      <c r="C24" t="str">
        <f>"720610499100"</f>
        <v>720610499100</v>
      </c>
      <c r="D24" t="s">
        <v>155</v>
      </c>
      <c r="E24" t="s">
        <v>156</v>
      </c>
      <c r="F24" t="s">
        <v>157</v>
      </c>
      <c r="G24" s="1">
        <v>26460</v>
      </c>
      <c r="H24" t="s">
        <v>45</v>
      </c>
      <c r="I24" t="s">
        <v>46</v>
      </c>
      <c r="J24" t="s">
        <v>47</v>
      </c>
      <c r="L24" t="s">
        <v>64</v>
      </c>
      <c r="M24" t="s">
        <v>90</v>
      </c>
      <c r="N24">
        <v>1.1000000000000001</v>
      </c>
      <c r="O24" t="s">
        <v>50</v>
      </c>
      <c r="P24" t="s">
        <v>51</v>
      </c>
      <c r="Q24" t="s">
        <v>52</v>
      </c>
      <c r="U24" t="s">
        <v>53</v>
      </c>
      <c r="V24" t="s">
        <v>54</v>
      </c>
      <c r="W24" t="str">
        <f>"21"</f>
        <v>21</v>
      </c>
      <c r="X24" t="str">
        <f>"33"</f>
        <v>33</v>
      </c>
      <c r="Y24" t="str">
        <f>"32"</f>
        <v>32</v>
      </c>
      <c r="Z24" t="str">
        <f>"32"</f>
        <v>32</v>
      </c>
      <c r="AA24" t="str">
        <f>"12"</f>
        <v>12</v>
      </c>
      <c r="AB24" t="s">
        <v>65</v>
      </c>
      <c r="AC24" t="s">
        <v>158</v>
      </c>
      <c r="AE24" t="s">
        <v>84</v>
      </c>
      <c r="AG24" t="s">
        <v>95</v>
      </c>
      <c r="AH24" t="s">
        <v>58</v>
      </c>
      <c r="AI24">
        <v>1.1000000000000001</v>
      </c>
      <c r="AJ24" t="str">
        <f>"[18]"</f>
        <v>[18]</v>
      </c>
      <c r="AK24" t="s">
        <v>49</v>
      </c>
      <c r="AL24">
        <v>0.4</v>
      </c>
      <c r="AM24" t="s">
        <v>55</v>
      </c>
      <c r="AO24" t="s">
        <v>159</v>
      </c>
      <c r="AP24">
        <v>0.4</v>
      </c>
    </row>
    <row r="25" spans="1:42" x14ac:dyDescent="0.3">
      <c r="A25">
        <v>180982</v>
      </c>
      <c r="B25">
        <v>155997</v>
      </c>
      <c r="C25" t="str">
        <f>"810429450163"</f>
        <v>810429450163</v>
      </c>
      <c r="D25" t="s">
        <v>160</v>
      </c>
      <c r="E25" t="s">
        <v>134</v>
      </c>
      <c r="F25" t="s">
        <v>161</v>
      </c>
      <c r="G25" s="1">
        <v>29705</v>
      </c>
      <c r="H25" t="s">
        <v>45</v>
      </c>
      <c r="I25" t="s">
        <v>89</v>
      </c>
      <c r="J25" t="s">
        <v>47</v>
      </c>
      <c r="L25" t="s">
        <v>64</v>
      </c>
      <c r="M25" t="s">
        <v>49</v>
      </c>
      <c r="N25">
        <v>1.5</v>
      </c>
      <c r="O25" t="s">
        <v>50</v>
      </c>
      <c r="P25" t="s">
        <v>51</v>
      </c>
      <c r="Q25" t="s">
        <v>52</v>
      </c>
      <c r="U25" t="s">
        <v>53</v>
      </c>
      <c r="V25" t="s">
        <v>54</v>
      </c>
      <c r="W25" t="str">
        <f>"0"</f>
        <v>0</v>
      </c>
      <c r="X25" t="str">
        <f>"21"</f>
        <v>21</v>
      </c>
      <c r="Y25" t="str">
        <f>"21"</f>
        <v>21</v>
      </c>
      <c r="Z25" t="str">
        <f>"21"</f>
        <v>21</v>
      </c>
      <c r="AA25" t="str">
        <f>"21"</f>
        <v>21</v>
      </c>
      <c r="AB25" t="s">
        <v>73</v>
      </c>
      <c r="AC25" t="s">
        <v>158</v>
      </c>
      <c r="AE25" t="s">
        <v>94</v>
      </c>
      <c r="AG25" t="s">
        <v>162</v>
      </c>
      <c r="AH25" t="s">
        <v>58</v>
      </c>
      <c r="AI25">
        <v>1.5</v>
      </c>
      <c r="AJ25" t="str">
        <f>"[24]"</f>
        <v>[24]</v>
      </c>
      <c r="AK25" t="s">
        <v>49</v>
      </c>
      <c r="AL25">
        <v>0.1</v>
      </c>
      <c r="AM25" t="s">
        <v>65</v>
      </c>
      <c r="AN25" t="s">
        <v>105</v>
      </c>
      <c r="AO25" t="s">
        <v>163</v>
      </c>
      <c r="AP25">
        <v>0.1</v>
      </c>
    </row>
    <row r="26" spans="1:42" x14ac:dyDescent="0.3">
      <c r="A26">
        <v>180988</v>
      </c>
      <c r="B26">
        <v>156001</v>
      </c>
      <c r="C26" t="str">
        <f>"750223401151"</f>
        <v>750223401151</v>
      </c>
      <c r="D26" t="s">
        <v>164</v>
      </c>
      <c r="E26" t="s">
        <v>165</v>
      </c>
      <c r="F26" t="s">
        <v>166</v>
      </c>
      <c r="G26" s="1">
        <v>27448</v>
      </c>
      <c r="H26" t="s">
        <v>45</v>
      </c>
      <c r="I26" t="s">
        <v>89</v>
      </c>
      <c r="J26" t="s">
        <v>47</v>
      </c>
      <c r="L26" t="s">
        <v>64</v>
      </c>
      <c r="M26" t="s">
        <v>49</v>
      </c>
      <c r="N26">
        <v>1.1000000000000001</v>
      </c>
      <c r="O26" t="s">
        <v>50</v>
      </c>
      <c r="P26" t="s">
        <v>51</v>
      </c>
      <c r="Q26" t="s">
        <v>91</v>
      </c>
      <c r="U26" t="s">
        <v>53</v>
      </c>
      <c r="V26" t="s">
        <v>54</v>
      </c>
      <c r="W26" t="str">
        <f>"0"</f>
        <v>0</v>
      </c>
      <c r="X26" t="str">
        <f>"28"</f>
        <v>28</v>
      </c>
      <c r="Y26" t="str">
        <f>"28"</f>
        <v>28</v>
      </c>
      <c r="Z26" t="str">
        <f>"28"</f>
        <v>28</v>
      </c>
      <c r="AA26" t="str">
        <f>"28"</f>
        <v>28</v>
      </c>
      <c r="AB26" t="s">
        <v>65</v>
      </c>
      <c r="AC26" t="s">
        <v>105</v>
      </c>
      <c r="AE26" t="s">
        <v>94</v>
      </c>
      <c r="AG26" t="s">
        <v>159</v>
      </c>
      <c r="AH26" t="s">
        <v>96</v>
      </c>
      <c r="AI26">
        <v>1.1000000000000001</v>
      </c>
      <c r="AJ26" t="str">
        <f>"[17]"</f>
        <v>[17]</v>
      </c>
      <c r="AK26" t="s">
        <v>167</v>
      </c>
      <c r="AL26">
        <v>0.5</v>
      </c>
    </row>
    <row r="27" spans="1:42" x14ac:dyDescent="0.3">
      <c r="A27">
        <v>181015</v>
      </c>
      <c r="B27">
        <v>156021</v>
      </c>
      <c r="C27" t="str">
        <f>"780217402836"</f>
        <v>780217402836</v>
      </c>
      <c r="D27" t="s">
        <v>168</v>
      </c>
      <c r="E27" t="s">
        <v>169</v>
      </c>
      <c r="F27" t="s">
        <v>170</v>
      </c>
      <c r="G27" s="1">
        <v>28538</v>
      </c>
      <c r="H27" t="s">
        <v>45</v>
      </c>
      <c r="I27" t="s">
        <v>89</v>
      </c>
      <c r="J27" t="s">
        <v>47</v>
      </c>
      <c r="L27" t="s">
        <v>64</v>
      </c>
      <c r="M27" t="s">
        <v>90</v>
      </c>
      <c r="N27">
        <v>1</v>
      </c>
      <c r="O27" t="s">
        <v>50</v>
      </c>
      <c r="P27" t="s">
        <v>51</v>
      </c>
      <c r="Q27" t="s">
        <v>52</v>
      </c>
      <c r="U27" t="s">
        <v>53</v>
      </c>
      <c r="V27" t="s">
        <v>54</v>
      </c>
      <c r="W27" t="str">
        <f>"8"</f>
        <v>8</v>
      </c>
      <c r="X27" t="str">
        <f>"19"</f>
        <v>19</v>
      </c>
      <c r="Y27" t="str">
        <f>"18"</f>
        <v>18</v>
      </c>
      <c r="Z27" t="str">
        <f>"18"</f>
        <v>18</v>
      </c>
      <c r="AA27" t="str">
        <f>"11"</f>
        <v>11</v>
      </c>
      <c r="AB27" t="s">
        <v>65</v>
      </c>
      <c r="AC27" t="s">
        <v>74</v>
      </c>
      <c r="AE27" t="s">
        <v>94</v>
      </c>
      <c r="AG27" t="s">
        <v>95</v>
      </c>
      <c r="AH27" t="s">
        <v>58</v>
      </c>
      <c r="AI27">
        <v>1</v>
      </c>
      <c r="AJ27" t="str">
        <f>"[16]"</f>
        <v>[16]</v>
      </c>
      <c r="AK27" t="s">
        <v>171</v>
      </c>
      <c r="AL27">
        <v>0.5</v>
      </c>
      <c r="AM27" t="s">
        <v>65</v>
      </c>
      <c r="AN27" t="s">
        <v>92</v>
      </c>
    </row>
    <row r="28" spans="1:42" x14ac:dyDescent="0.3">
      <c r="A28">
        <v>181028</v>
      </c>
      <c r="B28">
        <v>156032</v>
      </c>
      <c r="C28" t="str">
        <f>"650501401378"</f>
        <v>650501401378</v>
      </c>
      <c r="D28" t="s">
        <v>172</v>
      </c>
      <c r="E28" t="s">
        <v>173</v>
      </c>
      <c r="F28" t="s">
        <v>174</v>
      </c>
      <c r="G28" s="1">
        <v>23863</v>
      </c>
      <c r="H28" t="s">
        <v>45</v>
      </c>
      <c r="I28" t="s">
        <v>46</v>
      </c>
      <c r="J28" t="s">
        <v>47</v>
      </c>
      <c r="L28" t="s">
        <v>64</v>
      </c>
      <c r="M28" t="s">
        <v>49</v>
      </c>
      <c r="N28">
        <v>1.5</v>
      </c>
      <c r="O28" t="s">
        <v>50</v>
      </c>
      <c r="P28" t="s">
        <v>51</v>
      </c>
      <c r="Q28" t="s">
        <v>52</v>
      </c>
      <c r="U28" t="s">
        <v>53</v>
      </c>
      <c r="V28" t="s">
        <v>54</v>
      </c>
      <c r="W28" t="str">
        <f>"37"</f>
        <v>37</v>
      </c>
      <c r="X28" t="str">
        <f>"41"</f>
        <v>41</v>
      </c>
      <c r="Y28" t="str">
        <f>"41"</f>
        <v>41</v>
      </c>
      <c r="Z28" t="str">
        <f>"41"</f>
        <v>41</v>
      </c>
      <c r="AA28" t="str">
        <f>"4"</f>
        <v>4</v>
      </c>
      <c r="AB28" t="s">
        <v>65</v>
      </c>
      <c r="AC28" t="s">
        <v>74</v>
      </c>
      <c r="AE28" t="s">
        <v>84</v>
      </c>
      <c r="AG28" t="s">
        <v>128</v>
      </c>
      <c r="AH28" t="s">
        <v>58</v>
      </c>
      <c r="AI28">
        <v>1.5</v>
      </c>
      <c r="AJ28" t="str">
        <f>"[24]"</f>
        <v>[24]</v>
      </c>
      <c r="AK28" t="s">
        <v>54</v>
      </c>
      <c r="AL28">
        <v>0</v>
      </c>
    </row>
    <row r="29" spans="1:42" x14ac:dyDescent="0.3">
      <c r="A29">
        <v>181046</v>
      </c>
      <c r="B29">
        <v>156045</v>
      </c>
      <c r="C29" t="str">
        <f>"780918401501"</f>
        <v>780918401501</v>
      </c>
      <c r="D29" t="s">
        <v>175</v>
      </c>
      <c r="E29" t="s">
        <v>176</v>
      </c>
      <c r="F29" t="s">
        <v>146</v>
      </c>
      <c r="G29" s="1">
        <v>28751</v>
      </c>
      <c r="H29" t="s">
        <v>45</v>
      </c>
      <c r="I29" t="s">
        <v>89</v>
      </c>
      <c r="J29" t="s">
        <v>47</v>
      </c>
      <c r="L29" t="s">
        <v>64</v>
      </c>
      <c r="M29" t="s">
        <v>177</v>
      </c>
      <c r="N29">
        <v>1.5</v>
      </c>
      <c r="O29" t="s">
        <v>50</v>
      </c>
      <c r="P29" t="s">
        <v>51</v>
      </c>
      <c r="Q29" t="s">
        <v>178</v>
      </c>
      <c r="U29" t="s">
        <v>179</v>
      </c>
      <c r="W29" t="str">
        <f>"0"</f>
        <v>0</v>
      </c>
      <c r="X29" t="str">
        <f>"19"</f>
        <v>19</v>
      </c>
      <c r="Z29" t="str">
        <f>"0"</f>
        <v>0</v>
      </c>
      <c r="AA29" t="str">
        <f>"19"</f>
        <v>19</v>
      </c>
      <c r="AE29" t="s">
        <v>59</v>
      </c>
      <c r="AK29" t="s">
        <v>54</v>
      </c>
      <c r="AL29">
        <v>0</v>
      </c>
    </row>
    <row r="30" spans="1:42" x14ac:dyDescent="0.3">
      <c r="A30">
        <v>181092</v>
      </c>
      <c r="B30">
        <v>156076</v>
      </c>
      <c r="C30" t="str">
        <f>"660820450027"</f>
        <v>660820450027</v>
      </c>
      <c r="D30" t="s">
        <v>180</v>
      </c>
      <c r="E30" t="s">
        <v>43</v>
      </c>
      <c r="F30" t="s">
        <v>181</v>
      </c>
      <c r="G30" s="1">
        <v>24339</v>
      </c>
      <c r="H30" t="s">
        <v>45</v>
      </c>
      <c r="I30" t="s">
        <v>46</v>
      </c>
      <c r="J30" t="s">
        <v>47</v>
      </c>
      <c r="L30" t="s">
        <v>64</v>
      </c>
      <c r="M30" t="s">
        <v>182</v>
      </c>
      <c r="N30">
        <v>1.5</v>
      </c>
      <c r="O30" t="s">
        <v>50</v>
      </c>
      <c r="P30" t="s">
        <v>51</v>
      </c>
      <c r="Q30" t="s">
        <v>183</v>
      </c>
      <c r="U30" t="s">
        <v>179</v>
      </c>
      <c r="W30" t="str">
        <f>"7"</f>
        <v>7</v>
      </c>
      <c r="X30" t="str">
        <f>"15"</f>
        <v>15</v>
      </c>
      <c r="Z30" t="str">
        <f>"0"</f>
        <v>0</v>
      </c>
      <c r="AA30" t="str">
        <f>"8"</f>
        <v>8</v>
      </c>
      <c r="AE30" t="s">
        <v>59</v>
      </c>
      <c r="AK30" t="s">
        <v>54</v>
      </c>
      <c r="AL30">
        <v>0</v>
      </c>
    </row>
    <row r="31" spans="1:42" x14ac:dyDescent="0.3">
      <c r="A31">
        <v>181113</v>
      </c>
      <c r="B31">
        <v>145303</v>
      </c>
      <c r="C31" t="str">
        <f>"810518400488"</f>
        <v>810518400488</v>
      </c>
      <c r="D31" t="s">
        <v>184</v>
      </c>
      <c r="E31" t="s">
        <v>185</v>
      </c>
      <c r="F31" t="s">
        <v>186</v>
      </c>
      <c r="G31" s="1">
        <v>29724</v>
      </c>
      <c r="H31" t="s">
        <v>45</v>
      </c>
      <c r="I31" t="s">
        <v>46</v>
      </c>
      <c r="J31" t="s">
        <v>47</v>
      </c>
      <c r="L31" t="s">
        <v>64</v>
      </c>
      <c r="M31" t="s">
        <v>90</v>
      </c>
      <c r="N31">
        <v>1.5</v>
      </c>
      <c r="O31" t="s">
        <v>50</v>
      </c>
      <c r="P31" t="s">
        <v>51</v>
      </c>
      <c r="Q31" t="s">
        <v>91</v>
      </c>
      <c r="U31" t="s">
        <v>53</v>
      </c>
      <c r="V31" t="s">
        <v>54</v>
      </c>
      <c r="W31" t="str">
        <f>"4"</f>
        <v>4</v>
      </c>
      <c r="X31" t="str">
        <f>"13"</f>
        <v>13</v>
      </c>
      <c r="Y31" t="str">
        <f>"13"</f>
        <v>13</v>
      </c>
      <c r="Z31" t="str">
        <f>"13"</f>
        <v>13</v>
      </c>
      <c r="AA31" t="str">
        <f>"9"</f>
        <v>9</v>
      </c>
      <c r="AB31" t="s">
        <v>73</v>
      </c>
      <c r="AC31" t="s">
        <v>74</v>
      </c>
      <c r="AE31" t="s">
        <v>84</v>
      </c>
      <c r="AG31" t="s">
        <v>95</v>
      </c>
      <c r="AH31" t="s">
        <v>96</v>
      </c>
      <c r="AI31">
        <v>1.5</v>
      </c>
      <c r="AJ31" t="str">
        <f>"[24]"</f>
        <v>[24]</v>
      </c>
      <c r="AK31" t="s">
        <v>54</v>
      </c>
      <c r="AL31">
        <v>0</v>
      </c>
    </row>
    <row r="32" spans="1:42" x14ac:dyDescent="0.3">
      <c r="A32">
        <v>181170</v>
      </c>
      <c r="B32">
        <v>156143</v>
      </c>
      <c r="C32" t="str">
        <f>"900517450676"</f>
        <v>900517450676</v>
      </c>
      <c r="D32" t="s">
        <v>187</v>
      </c>
      <c r="E32" t="s">
        <v>188</v>
      </c>
      <c r="F32" t="s">
        <v>189</v>
      </c>
      <c r="G32" s="1">
        <v>33010</v>
      </c>
      <c r="H32" t="s">
        <v>45</v>
      </c>
      <c r="I32" t="s">
        <v>46</v>
      </c>
      <c r="J32" t="s">
        <v>47</v>
      </c>
      <c r="L32" t="s">
        <v>64</v>
      </c>
      <c r="M32" t="s">
        <v>49</v>
      </c>
      <c r="N32">
        <v>1.5</v>
      </c>
      <c r="O32" t="s">
        <v>50</v>
      </c>
      <c r="P32" t="s">
        <v>51</v>
      </c>
      <c r="Q32" t="s">
        <v>52</v>
      </c>
      <c r="U32" t="s">
        <v>53</v>
      </c>
      <c r="V32" t="s">
        <v>54</v>
      </c>
      <c r="W32" t="str">
        <f>"8"</f>
        <v>8</v>
      </c>
      <c r="X32" t="str">
        <f>"15"</f>
        <v>15</v>
      </c>
      <c r="Y32" t="str">
        <f>"8"</f>
        <v>8</v>
      </c>
      <c r="Z32" t="str">
        <f>"8"</f>
        <v>8</v>
      </c>
      <c r="AA32" t="str">
        <f>"7"</f>
        <v>7</v>
      </c>
      <c r="AB32" t="s">
        <v>73</v>
      </c>
      <c r="AC32" t="s">
        <v>92</v>
      </c>
      <c r="AD32" t="s">
        <v>93</v>
      </c>
      <c r="AE32" t="s">
        <v>80</v>
      </c>
      <c r="AG32" t="s">
        <v>120</v>
      </c>
      <c r="AH32" t="s">
        <v>58</v>
      </c>
      <c r="AI32">
        <v>1.5</v>
      </c>
      <c r="AJ32" t="str">
        <f>"[24]"</f>
        <v>[24]</v>
      </c>
      <c r="AK32" t="s">
        <v>190</v>
      </c>
      <c r="AL32">
        <v>1</v>
      </c>
      <c r="AM32" t="s">
        <v>55</v>
      </c>
      <c r="AO32" t="s">
        <v>75</v>
      </c>
      <c r="AP32">
        <v>0</v>
      </c>
    </row>
    <row r="33" spans="1:42" x14ac:dyDescent="0.3">
      <c r="A33">
        <v>181176</v>
      </c>
      <c r="B33">
        <v>156148</v>
      </c>
      <c r="C33" t="str">
        <f>"921201450882"</f>
        <v>921201450882</v>
      </c>
      <c r="D33" t="s">
        <v>191</v>
      </c>
      <c r="E33" t="s">
        <v>192</v>
      </c>
      <c r="F33" t="s">
        <v>193</v>
      </c>
      <c r="G33" s="1">
        <v>33939</v>
      </c>
      <c r="H33" t="s">
        <v>45</v>
      </c>
      <c r="I33" t="s">
        <v>89</v>
      </c>
      <c r="J33" t="s">
        <v>47</v>
      </c>
      <c r="L33" t="s">
        <v>64</v>
      </c>
      <c r="M33" t="s">
        <v>49</v>
      </c>
      <c r="N33">
        <v>1.5</v>
      </c>
      <c r="O33" t="s">
        <v>50</v>
      </c>
      <c r="P33" t="s">
        <v>102</v>
      </c>
      <c r="Q33" t="s">
        <v>103</v>
      </c>
      <c r="U33" t="s">
        <v>53</v>
      </c>
      <c r="V33" t="s">
        <v>54</v>
      </c>
      <c r="W33" t="str">
        <f>"4"</f>
        <v>4</v>
      </c>
      <c r="X33" t="str">
        <f>"9"</f>
        <v>9</v>
      </c>
      <c r="Y33" t="str">
        <f>"9"</f>
        <v>9</v>
      </c>
      <c r="Z33" t="str">
        <f>"9"</f>
        <v>9</v>
      </c>
      <c r="AA33" t="str">
        <f>"5"</f>
        <v>5</v>
      </c>
      <c r="AB33" t="s">
        <v>73</v>
      </c>
      <c r="AC33" t="s">
        <v>74</v>
      </c>
      <c r="AE33" t="s">
        <v>94</v>
      </c>
      <c r="AG33" t="s">
        <v>85</v>
      </c>
      <c r="AH33" t="s">
        <v>58</v>
      </c>
      <c r="AI33">
        <v>1.5</v>
      </c>
      <c r="AJ33" t="str">
        <f>"[24]"</f>
        <v>[24]</v>
      </c>
      <c r="AK33" t="s">
        <v>54</v>
      </c>
      <c r="AL33">
        <v>0</v>
      </c>
    </row>
    <row r="34" spans="1:42" x14ac:dyDescent="0.3">
      <c r="A34">
        <v>181207</v>
      </c>
      <c r="B34">
        <v>156169</v>
      </c>
      <c r="C34" t="str">
        <f>"650601401908"</f>
        <v>650601401908</v>
      </c>
      <c r="D34" t="s">
        <v>194</v>
      </c>
      <c r="E34" t="s">
        <v>113</v>
      </c>
      <c r="F34" t="s">
        <v>195</v>
      </c>
      <c r="G34" s="1">
        <v>23894</v>
      </c>
      <c r="H34" t="s">
        <v>45</v>
      </c>
      <c r="I34" t="s">
        <v>151</v>
      </c>
      <c r="J34" t="s">
        <v>47</v>
      </c>
      <c r="L34" t="s">
        <v>64</v>
      </c>
      <c r="M34" t="s">
        <v>49</v>
      </c>
      <c r="N34">
        <v>1.5</v>
      </c>
      <c r="O34" t="s">
        <v>50</v>
      </c>
      <c r="P34" t="s">
        <v>51</v>
      </c>
      <c r="Q34" t="s">
        <v>52</v>
      </c>
      <c r="U34" t="s">
        <v>53</v>
      </c>
      <c r="V34" t="s">
        <v>54</v>
      </c>
      <c r="W34" t="str">
        <f>"20"</f>
        <v>20</v>
      </c>
      <c r="X34" t="str">
        <f>"36"</f>
        <v>36</v>
      </c>
      <c r="Y34" t="str">
        <f>"33"</f>
        <v>33</v>
      </c>
      <c r="Z34" t="str">
        <f>"33"</f>
        <v>33</v>
      </c>
      <c r="AA34" t="str">
        <f>"16"</f>
        <v>16</v>
      </c>
      <c r="AB34" t="s">
        <v>104</v>
      </c>
      <c r="AC34" t="s">
        <v>74</v>
      </c>
      <c r="AD34" t="s">
        <v>93</v>
      </c>
      <c r="AE34" t="s">
        <v>94</v>
      </c>
      <c r="AG34" t="s">
        <v>140</v>
      </c>
      <c r="AH34" t="s">
        <v>58</v>
      </c>
      <c r="AI34">
        <v>1.5</v>
      </c>
      <c r="AJ34" t="str">
        <f>"[24]"</f>
        <v>[24]</v>
      </c>
      <c r="AK34" t="s">
        <v>196</v>
      </c>
      <c r="AL34">
        <v>0.7</v>
      </c>
      <c r="AM34" t="s">
        <v>55</v>
      </c>
      <c r="AO34" t="s">
        <v>75</v>
      </c>
      <c r="AP34">
        <v>0</v>
      </c>
    </row>
    <row r="35" spans="1:42" x14ac:dyDescent="0.3">
      <c r="A35">
        <v>181228</v>
      </c>
      <c r="B35">
        <v>156185</v>
      </c>
      <c r="C35" t="str">
        <f>"851002450141"</f>
        <v>851002450141</v>
      </c>
      <c r="D35" t="s">
        <v>197</v>
      </c>
      <c r="E35" t="s">
        <v>198</v>
      </c>
      <c r="F35" t="s">
        <v>146</v>
      </c>
      <c r="G35" s="1">
        <v>31322</v>
      </c>
      <c r="H35" t="s">
        <v>45</v>
      </c>
      <c r="I35" t="s">
        <v>89</v>
      </c>
      <c r="J35" t="s">
        <v>47</v>
      </c>
      <c r="L35" t="s">
        <v>64</v>
      </c>
      <c r="M35" t="s">
        <v>177</v>
      </c>
      <c r="N35">
        <v>1.5</v>
      </c>
      <c r="O35" t="s">
        <v>50</v>
      </c>
      <c r="P35" t="s">
        <v>51</v>
      </c>
      <c r="Q35" t="s">
        <v>178</v>
      </c>
      <c r="U35" t="s">
        <v>179</v>
      </c>
      <c r="W35" t="str">
        <f>"0"</f>
        <v>0</v>
      </c>
      <c r="X35" t="str">
        <f>"10"</f>
        <v>10</v>
      </c>
      <c r="Z35" t="str">
        <f>"0"</f>
        <v>0</v>
      </c>
      <c r="AA35" t="str">
        <f>"10"</f>
        <v>10</v>
      </c>
      <c r="AE35" t="s">
        <v>59</v>
      </c>
      <c r="AK35" t="s">
        <v>54</v>
      </c>
      <c r="AL35">
        <v>0</v>
      </c>
    </row>
    <row r="36" spans="1:42" x14ac:dyDescent="0.3">
      <c r="A36">
        <v>181308</v>
      </c>
      <c r="B36">
        <v>156246</v>
      </c>
      <c r="C36" t="str">
        <f>"610102450430"</f>
        <v>610102450430</v>
      </c>
      <c r="D36" t="s">
        <v>199</v>
      </c>
      <c r="E36" t="s">
        <v>200</v>
      </c>
      <c r="F36" t="s">
        <v>201</v>
      </c>
      <c r="G36" s="1">
        <v>22283</v>
      </c>
      <c r="H36" t="s">
        <v>45</v>
      </c>
      <c r="I36" t="s">
        <v>202</v>
      </c>
      <c r="J36" t="s">
        <v>47</v>
      </c>
      <c r="L36" t="s">
        <v>64</v>
      </c>
      <c r="M36" t="s">
        <v>177</v>
      </c>
      <c r="N36">
        <v>1.5</v>
      </c>
      <c r="O36" t="s">
        <v>50</v>
      </c>
      <c r="P36" t="s">
        <v>51</v>
      </c>
      <c r="Q36" t="s">
        <v>183</v>
      </c>
      <c r="U36" t="s">
        <v>179</v>
      </c>
      <c r="W36" t="str">
        <f>"23"</f>
        <v>23</v>
      </c>
      <c r="X36" t="str">
        <f>"31"</f>
        <v>31</v>
      </c>
      <c r="Z36" t="str">
        <f>"0"</f>
        <v>0</v>
      </c>
      <c r="AA36" t="str">
        <f>"8"</f>
        <v>8</v>
      </c>
      <c r="AE36" t="s">
        <v>59</v>
      </c>
      <c r="AK36" t="s">
        <v>54</v>
      </c>
      <c r="AL36">
        <v>0</v>
      </c>
    </row>
    <row r="37" spans="1:42" x14ac:dyDescent="0.3">
      <c r="A37">
        <v>1723083</v>
      </c>
      <c r="B37">
        <v>1291913</v>
      </c>
      <c r="C37" t="str">
        <f>"940405351428"</f>
        <v>940405351428</v>
      </c>
      <c r="D37" t="s">
        <v>203</v>
      </c>
      <c r="E37" t="s">
        <v>204</v>
      </c>
      <c r="F37" t="s">
        <v>205</v>
      </c>
      <c r="G37" s="1">
        <v>34429</v>
      </c>
      <c r="H37" t="s">
        <v>206</v>
      </c>
      <c r="I37" t="s">
        <v>46</v>
      </c>
      <c r="J37" t="s">
        <v>47</v>
      </c>
      <c r="L37" t="s">
        <v>64</v>
      </c>
      <c r="M37" t="s">
        <v>207</v>
      </c>
      <c r="N37">
        <v>1</v>
      </c>
      <c r="O37" t="s">
        <v>50</v>
      </c>
      <c r="P37" t="s">
        <v>51</v>
      </c>
      <c r="Q37" t="s">
        <v>52</v>
      </c>
      <c r="U37" t="s">
        <v>53</v>
      </c>
      <c r="V37" t="s">
        <v>54</v>
      </c>
      <c r="W37" t="str">
        <f>"2"</f>
        <v>2</v>
      </c>
      <c r="X37" t="str">
        <f>"6"</f>
        <v>6</v>
      </c>
      <c r="Y37" t="str">
        <f>"4"</f>
        <v>4</v>
      </c>
      <c r="Z37" t="str">
        <f>"4"</f>
        <v>4</v>
      </c>
      <c r="AA37" t="str">
        <f>"4"</f>
        <v>4</v>
      </c>
      <c r="AB37" t="s">
        <v>55</v>
      </c>
      <c r="AE37" t="s">
        <v>56</v>
      </c>
      <c r="AG37" t="s">
        <v>208</v>
      </c>
      <c r="AH37" t="s">
        <v>58</v>
      </c>
      <c r="AK37" t="s">
        <v>49</v>
      </c>
      <c r="AL37">
        <v>0.3</v>
      </c>
      <c r="AM37" t="s">
        <v>55</v>
      </c>
      <c r="AO37" t="s">
        <v>209</v>
      </c>
      <c r="AP37">
        <v>0.3</v>
      </c>
    </row>
    <row r="38" spans="1:42" x14ac:dyDescent="0.3">
      <c r="A38">
        <v>1723276</v>
      </c>
      <c r="B38">
        <v>1292005</v>
      </c>
      <c r="C38" t="str">
        <f>"010427650811"</f>
        <v>010427650811</v>
      </c>
      <c r="D38" t="s">
        <v>210</v>
      </c>
      <c r="E38" t="s">
        <v>211</v>
      </c>
      <c r="F38" t="s">
        <v>212</v>
      </c>
      <c r="G38" s="1">
        <v>37008</v>
      </c>
      <c r="H38" t="s">
        <v>45</v>
      </c>
      <c r="I38" t="s">
        <v>46</v>
      </c>
      <c r="J38" t="s">
        <v>47</v>
      </c>
      <c r="L38" t="s">
        <v>48</v>
      </c>
      <c r="M38" t="s">
        <v>49</v>
      </c>
      <c r="N38">
        <v>0</v>
      </c>
      <c r="O38" t="s">
        <v>50</v>
      </c>
      <c r="P38" t="s">
        <v>51</v>
      </c>
      <c r="Q38" t="s">
        <v>91</v>
      </c>
      <c r="U38" t="s">
        <v>53</v>
      </c>
      <c r="V38" t="s">
        <v>54</v>
      </c>
      <c r="W38" t="str">
        <f>"8"</f>
        <v>8</v>
      </c>
      <c r="X38" t="str">
        <f>"8"</f>
        <v>8</v>
      </c>
      <c r="Y38" t="str">
        <f>"0"</f>
        <v>0</v>
      </c>
      <c r="Z38" t="str">
        <f>"0"</f>
        <v>0</v>
      </c>
      <c r="AA38" t="str">
        <f>"0"</f>
        <v>0</v>
      </c>
      <c r="AB38" t="s">
        <v>55</v>
      </c>
      <c r="AE38" t="s">
        <v>84</v>
      </c>
      <c r="AG38" t="s">
        <v>213</v>
      </c>
      <c r="AH38" t="s">
        <v>96</v>
      </c>
      <c r="AI38">
        <v>0</v>
      </c>
      <c r="AJ38" t="str">
        <f>"[0]"</f>
        <v>[0]</v>
      </c>
      <c r="AK38" t="s">
        <v>54</v>
      </c>
      <c r="AL38">
        <v>0</v>
      </c>
    </row>
    <row r="39" spans="1:42" x14ac:dyDescent="0.3">
      <c r="A39">
        <v>1729023</v>
      </c>
      <c r="B39">
        <v>141714</v>
      </c>
      <c r="C39" t="str">
        <f>"881122451485"</f>
        <v>881122451485</v>
      </c>
      <c r="D39" t="s">
        <v>214</v>
      </c>
      <c r="E39" t="s">
        <v>176</v>
      </c>
      <c r="F39" t="s">
        <v>170</v>
      </c>
      <c r="G39" s="1">
        <v>32469</v>
      </c>
      <c r="H39" t="s">
        <v>45</v>
      </c>
      <c r="I39" t="s">
        <v>89</v>
      </c>
      <c r="J39" t="s">
        <v>47</v>
      </c>
      <c r="L39" t="s">
        <v>64</v>
      </c>
      <c r="M39" t="s">
        <v>49</v>
      </c>
      <c r="N39">
        <v>1.5</v>
      </c>
      <c r="O39" t="s">
        <v>50</v>
      </c>
      <c r="P39" t="s">
        <v>51</v>
      </c>
      <c r="Q39" t="s">
        <v>52</v>
      </c>
      <c r="U39" t="s">
        <v>53</v>
      </c>
      <c r="V39" t="s">
        <v>54</v>
      </c>
      <c r="W39" t="str">
        <f>"2"</f>
        <v>2</v>
      </c>
      <c r="X39" t="str">
        <f>"7"</f>
        <v>7</v>
      </c>
      <c r="Y39" t="str">
        <f>"7"</f>
        <v>7</v>
      </c>
      <c r="Z39" t="str">
        <f>"7"</f>
        <v>7</v>
      </c>
      <c r="AA39" t="str">
        <f>"5"</f>
        <v>5</v>
      </c>
      <c r="AB39" t="s">
        <v>73</v>
      </c>
      <c r="AC39" t="s">
        <v>158</v>
      </c>
      <c r="AE39" t="s">
        <v>94</v>
      </c>
      <c r="AG39" t="s">
        <v>128</v>
      </c>
      <c r="AH39" t="s">
        <v>58</v>
      </c>
      <c r="AI39">
        <v>1.5</v>
      </c>
      <c r="AJ39" t="str">
        <f>"[24]"</f>
        <v>[24]</v>
      </c>
      <c r="AK39" t="s">
        <v>54</v>
      </c>
      <c r="AL39">
        <v>0</v>
      </c>
    </row>
    <row r="40" spans="1:42" x14ac:dyDescent="0.3">
      <c r="A40">
        <v>1738877</v>
      </c>
      <c r="B40">
        <v>1300168</v>
      </c>
      <c r="C40" t="str">
        <f>"660104450282"</f>
        <v>660104450282</v>
      </c>
      <c r="D40" t="s">
        <v>215</v>
      </c>
      <c r="E40" t="s">
        <v>216</v>
      </c>
      <c r="F40" t="s">
        <v>161</v>
      </c>
      <c r="G40" s="1">
        <v>24111</v>
      </c>
      <c r="H40" t="s">
        <v>45</v>
      </c>
      <c r="I40" t="s">
        <v>115</v>
      </c>
      <c r="J40" t="s">
        <v>47</v>
      </c>
      <c r="L40" t="s">
        <v>64</v>
      </c>
      <c r="M40" t="s">
        <v>217</v>
      </c>
      <c r="N40">
        <v>1</v>
      </c>
      <c r="O40" t="s">
        <v>50</v>
      </c>
      <c r="P40" t="s">
        <v>51</v>
      </c>
      <c r="Q40" t="s">
        <v>91</v>
      </c>
      <c r="U40" t="s">
        <v>179</v>
      </c>
      <c r="W40" t="str">
        <f>"29"</f>
        <v>29</v>
      </c>
      <c r="X40" t="str">
        <f>"33"</f>
        <v>33</v>
      </c>
      <c r="Z40" t="str">
        <f>"0"</f>
        <v>0</v>
      </c>
      <c r="AA40" t="str">
        <f>"4"</f>
        <v>4</v>
      </c>
      <c r="AK40" t="s">
        <v>182</v>
      </c>
      <c r="AL40">
        <v>0.5</v>
      </c>
    </row>
    <row r="41" spans="1:42" x14ac:dyDescent="0.3">
      <c r="A41">
        <v>1922592</v>
      </c>
      <c r="B41">
        <v>368754</v>
      </c>
      <c r="C41" t="str">
        <f>"950428400724"</f>
        <v>950428400724</v>
      </c>
      <c r="D41" t="s">
        <v>218</v>
      </c>
      <c r="E41" t="s">
        <v>219</v>
      </c>
      <c r="G41" s="1">
        <v>34817</v>
      </c>
      <c r="H41" t="s">
        <v>45</v>
      </c>
      <c r="I41" t="s">
        <v>46</v>
      </c>
      <c r="J41" t="s">
        <v>47</v>
      </c>
      <c r="L41" t="s">
        <v>48</v>
      </c>
      <c r="M41" t="s">
        <v>49</v>
      </c>
      <c r="N41">
        <v>0</v>
      </c>
      <c r="O41" t="s">
        <v>50</v>
      </c>
      <c r="P41" t="s">
        <v>102</v>
      </c>
      <c r="Q41" t="s">
        <v>103</v>
      </c>
      <c r="U41" t="s">
        <v>53</v>
      </c>
      <c r="V41" t="s">
        <v>54</v>
      </c>
      <c r="W41" t="str">
        <f>"1"</f>
        <v>1</v>
      </c>
      <c r="X41" t="str">
        <f>"1"</f>
        <v>1</v>
      </c>
      <c r="Y41" t="str">
        <f>"1"</f>
        <v>1</v>
      </c>
      <c r="Z41" t="str">
        <f>"1"</f>
        <v>1</v>
      </c>
      <c r="AA41" t="str">
        <f>"0"</f>
        <v>0</v>
      </c>
      <c r="AB41" t="s">
        <v>55</v>
      </c>
      <c r="AE41" t="s">
        <v>80</v>
      </c>
      <c r="AG41" t="s">
        <v>85</v>
      </c>
      <c r="AH41" t="s">
        <v>58</v>
      </c>
      <c r="AI41">
        <v>0</v>
      </c>
      <c r="AJ41" t="str">
        <f>"[0]"</f>
        <v>[0]</v>
      </c>
      <c r="AK41" t="s">
        <v>54</v>
      </c>
      <c r="AL41">
        <v>0</v>
      </c>
    </row>
    <row r="42" spans="1:42" x14ac:dyDescent="0.3">
      <c r="A42">
        <v>1975443</v>
      </c>
      <c r="B42">
        <v>157538</v>
      </c>
      <c r="C42" t="str">
        <f>"701220450484"</f>
        <v>701220450484</v>
      </c>
      <c r="D42" t="s">
        <v>220</v>
      </c>
      <c r="E42" t="s">
        <v>145</v>
      </c>
      <c r="F42" t="s">
        <v>221</v>
      </c>
      <c r="G42" s="1">
        <v>25922</v>
      </c>
      <c r="H42" t="s">
        <v>45</v>
      </c>
      <c r="I42" t="s">
        <v>89</v>
      </c>
      <c r="J42" t="s">
        <v>47</v>
      </c>
      <c r="L42" t="s">
        <v>64</v>
      </c>
      <c r="M42" t="s">
        <v>49</v>
      </c>
      <c r="N42">
        <v>1</v>
      </c>
      <c r="O42" t="s">
        <v>50</v>
      </c>
      <c r="P42" t="s">
        <v>102</v>
      </c>
      <c r="Q42" t="s">
        <v>103</v>
      </c>
      <c r="U42" t="s">
        <v>53</v>
      </c>
      <c r="V42" t="s">
        <v>54</v>
      </c>
      <c r="W42" t="str">
        <f>"26"</f>
        <v>26</v>
      </c>
      <c r="X42" t="str">
        <f>"29"</f>
        <v>29</v>
      </c>
      <c r="Y42" t="str">
        <f>"29"</f>
        <v>29</v>
      </c>
      <c r="Z42" t="str">
        <f>"29"</f>
        <v>29</v>
      </c>
      <c r="AA42" t="str">
        <f t="shared" ref="AA42:AA47" si="0">"3"</f>
        <v>3</v>
      </c>
      <c r="AB42" t="s">
        <v>73</v>
      </c>
      <c r="AC42" t="s">
        <v>105</v>
      </c>
      <c r="AE42" t="s">
        <v>94</v>
      </c>
      <c r="AG42" t="s">
        <v>222</v>
      </c>
      <c r="AH42" t="s">
        <v>58</v>
      </c>
      <c r="AI42">
        <v>1</v>
      </c>
      <c r="AJ42" t="str">
        <f>"[16]"</f>
        <v>[16]</v>
      </c>
      <c r="AK42" t="s">
        <v>49</v>
      </c>
      <c r="AL42">
        <v>0.5</v>
      </c>
      <c r="AM42" t="s">
        <v>55</v>
      </c>
      <c r="AO42" t="s">
        <v>57</v>
      </c>
      <c r="AP42">
        <v>0.5</v>
      </c>
    </row>
    <row r="43" spans="1:42" x14ac:dyDescent="0.3">
      <c r="A43">
        <v>1975587</v>
      </c>
      <c r="B43">
        <v>1434393</v>
      </c>
      <c r="C43" t="str">
        <f>"980227351428"</f>
        <v>980227351428</v>
      </c>
      <c r="D43" t="s">
        <v>223</v>
      </c>
      <c r="E43" t="s">
        <v>224</v>
      </c>
      <c r="G43" s="1">
        <v>35853</v>
      </c>
      <c r="H43" t="s">
        <v>45</v>
      </c>
      <c r="I43" t="s">
        <v>46</v>
      </c>
      <c r="J43" t="s">
        <v>47</v>
      </c>
      <c r="L43" t="s">
        <v>64</v>
      </c>
      <c r="M43" t="s">
        <v>49</v>
      </c>
      <c r="N43">
        <v>1.5</v>
      </c>
      <c r="O43" t="s">
        <v>50</v>
      </c>
      <c r="P43" t="s">
        <v>51</v>
      </c>
      <c r="Q43" t="s">
        <v>52</v>
      </c>
      <c r="U43" t="s">
        <v>53</v>
      </c>
      <c r="V43" t="s">
        <v>54</v>
      </c>
      <c r="W43" t="str">
        <f>"3"</f>
        <v>3</v>
      </c>
      <c r="X43" t="str">
        <f>"6"</f>
        <v>6</v>
      </c>
      <c r="Y43" t="str">
        <f>"3"</f>
        <v>3</v>
      </c>
      <c r="Z43" t="str">
        <f>"3"</f>
        <v>3</v>
      </c>
      <c r="AA43" t="str">
        <f t="shared" si="0"/>
        <v>3</v>
      </c>
      <c r="AB43" t="s">
        <v>55</v>
      </c>
      <c r="AE43" t="s">
        <v>84</v>
      </c>
      <c r="AG43" t="s">
        <v>152</v>
      </c>
      <c r="AH43" t="s">
        <v>58</v>
      </c>
      <c r="AI43">
        <v>1.5</v>
      </c>
      <c r="AJ43" t="str">
        <f>"[24]"</f>
        <v>[24]</v>
      </c>
      <c r="AK43" t="s">
        <v>54</v>
      </c>
      <c r="AL43">
        <v>0</v>
      </c>
    </row>
    <row r="44" spans="1:42" x14ac:dyDescent="0.3">
      <c r="A44">
        <v>1981225</v>
      </c>
      <c r="B44">
        <v>156122</v>
      </c>
      <c r="C44" t="str">
        <f>"710402401444"</f>
        <v>710402401444</v>
      </c>
      <c r="D44" t="s">
        <v>225</v>
      </c>
      <c r="E44" t="s">
        <v>226</v>
      </c>
      <c r="F44" t="s">
        <v>227</v>
      </c>
      <c r="G44" s="1">
        <v>26025</v>
      </c>
      <c r="H44" t="s">
        <v>45</v>
      </c>
      <c r="I44" t="s">
        <v>46</v>
      </c>
      <c r="J44" t="s">
        <v>47</v>
      </c>
      <c r="L44" t="s">
        <v>64</v>
      </c>
      <c r="M44" t="s">
        <v>49</v>
      </c>
      <c r="N44">
        <v>1.5</v>
      </c>
      <c r="O44" t="s">
        <v>50</v>
      </c>
      <c r="P44" t="s">
        <v>51</v>
      </c>
      <c r="Q44" t="s">
        <v>52</v>
      </c>
      <c r="U44" t="s">
        <v>53</v>
      </c>
      <c r="V44" t="s">
        <v>54</v>
      </c>
      <c r="W44" t="str">
        <f>"19"</f>
        <v>19</v>
      </c>
      <c r="X44" t="str">
        <f>"22"</f>
        <v>22</v>
      </c>
      <c r="Y44" t="str">
        <f>"21"</f>
        <v>21</v>
      </c>
      <c r="Z44" t="str">
        <f>"21"</f>
        <v>21</v>
      </c>
      <c r="AA44" t="str">
        <f t="shared" si="0"/>
        <v>3</v>
      </c>
      <c r="AB44" t="s">
        <v>65</v>
      </c>
      <c r="AC44" t="s">
        <v>158</v>
      </c>
      <c r="AD44" t="s">
        <v>93</v>
      </c>
      <c r="AE44" t="s">
        <v>94</v>
      </c>
      <c r="AG44" t="s">
        <v>67</v>
      </c>
      <c r="AH44" t="s">
        <v>58</v>
      </c>
      <c r="AI44">
        <v>1.5</v>
      </c>
      <c r="AJ44" t="str">
        <f>"[24]"</f>
        <v>[24]</v>
      </c>
      <c r="AK44" t="s">
        <v>196</v>
      </c>
      <c r="AL44">
        <v>0.7</v>
      </c>
      <c r="AM44" t="s">
        <v>55</v>
      </c>
      <c r="AO44" t="s">
        <v>75</v>
      </c>
      <c r="AP44">
        <v>0</v>
      </c>
    </row>
    <row r="45" spans="1:42" x14ac:dyDescent="0.3">
      <c r="A45">
        <v>1981470</v>
      </c>
      <c r="B45">
        <v>159414</v>
      </c>
      <c r="C45" t="str">
        <f>"740401300886"</f>
        <v>740401300886</v>
      </c>
      <c r="D45" t="s">
        <v>228</v>
      </c>
      <c r="E45" t="s">
        <v>229</v>
      </c>
      <c r="F45" t="s">
        <v>230</v>
      </c>
      <c r="G45" s="1">
        <v>27120</v>
      </c>
      <c r="H45" t="s">
        <v>206</v>
      </c>
      <c r="I45" t="s">
        <v>46</v>
      </c>
      <c r="J45" t="s">
        <v>47</v>
      </c>
      <c r="L45" t="s">
        <v>64</v>
      </c>
      <c r="M45" t="s">
        <v>49</v>
      </c>
      <c r="N45">
        <v>1.5</v>
      </c>
      <c r="O45" t="s">
        <v>50</v>
      </c>
      <c r="P45" t="s">
        <v>51</v>
      </c>
      <c r="Q45" t="s">
        <v>52</v>
      </c>
      <c r="U45" t="s">
        <v>53</v>
      </c>
      <c r="V45" t="s">
        <v>54</v>
      </c>
      <c r="W45" t="str">
        <f>"22"</f>
        <v>22</v>
      </c>
      <c r="X45" t="str">
        <f>"25"</f>
        <v>25</v>
      </c>
      <c r="Y45" t="str">
        <f>"25"</f>
        <v>25</v>
      </c>
      <c r="Z45" t="str">
        <f>"25"</f>
        <v>25</v>
      </c>
      <c r="AA45" t="str">
        <f t="shared" si="0"/>
        <v>3</v>
      </c>
      <c r="AB45" t="s">
        <v>231</v>
      </c>
      <c r="AC45" t="s">
        <v>232</v>
      </c>
      <c r="AE45" t="s">
        <v>94</v>
      </c>
      <c r="AG45" t="s">
        <v>209</v>
      </c>
      <c r="AH45" t="s">
        <v>58</v>
      </c>
      <c r="AI45">
        <v>1.5</v>
      </c>
      <c r="AJ45" t="str">
        <f>"[24]"</f>
        <v>[24]</v>
      </c>
      <c r="AK45" t="s">
        <v>54</v>
      </c>
      <c r="AL45">
        <v>0</v>
      </c>
    </row>
    <row r="46" spans="1:42" x14ac:dyDescent="0.3">
      <c r="A46">
        <v>1983571</v>
      </c>
      <c r="B46">
        <v>144175</v>
      </c>
      <c r="C46" t="str">
        <f>"890519450830"</f>
        <v>890519450830</v>
      </c>
      <c r="D46" t="s">
        <v>233</v>
      </c>
      <c r="E46" t="s">
        <v>234</v>
      </c>
      <c r="F46" t="s">
        <v>119</v>
      </c>
      <c r="G46" s="1">
        <v>32647</v>
      </c>
      <c r="H46" t="s">
        <v>45</v>
      </c>
      <c r="I46" t="s">
        <v>46</v>
      </c>
      <c r="J46" t="s">
        <v>47</v>
      </c>
      <c r="L46" t="s">
        <v>64</v>
      </c>
      <c r="M46" t="s">
        <v>90</v>
      </c>
      <c r="N46">
        <v>0.9</v>
      </c>
      <c r="O46" t="s">
        <v>50</v>
      </c>
      <c r="P46" t="s">
        <v>51</v>
      </c>
      <c r="Q46" t="s">
        <v>91</v>
      </c>
      <c r="U46" t="s">
        <v>53</v>
      </c>
      <c r="V46" t="s">
        <v>54</v>
      </c>
      <c r="W46" t="str">
        <f>"6"</f>
        <v>6</v>
      </c>
      <c r="X46" t="str">
        <f>"9"</f>
        <v>9</v>
      </c>
      <c r="Y46" t="str">
        <f>"9"</f>
        <v>9</v>
      </c>
      <c r="Z46" t="str">
        <f>"9"</f>
        <v>9</v>
      </c>
      <c r="AA46" t="str">
        <f t="shared" si="0"/>
        <v>3</v>
      </c>
      <c r="AB46" t="s">
        <v>55</v>
      </c>
      <c r="AE46" t="s">
        <v>94</v>
      </c>
      <c r="AG46" t="s">
        <v>95</v>
      </c>
      <c r="AH46" t="s">
        <v>96</v>
      </c>
      <c r="AI46">
        <v>0.9</v>
      </c>
      <c r="AJ46" t="str">
        <f>"[14]"</f>
        <v>[14]</v>
      </c>
      <c r="AK46" t="s">
        <v>235</v>
      </c>
      <c r="AL46">
        <v>1</v>
      </c>
      <c r="AM46" t="s">
        <v>55</v>
      </c>
    </row>
    <row r="47" spans="1:42" x14ac:dyDescent="0.3">
      <c r="A47">
        <v>1984011</v>
      </c>
      <c r="B47">
        <v>1399115</v>
      </c>
      <c r="C47" t="str">
        <f>"990914451440"</f>
        <v>990914451440</v>
      </c>
      <c r="D47" t="s">
        <v>236</v>
      </c>
      <c r="E47" t="s">
        <v>237</v>
      </c>
      <c r="G47" s="1">
        <v>36417</v>
      </c>
      <c r="H47" t="s">
        <v>45</v>
      </c>
      <c r="I47" t="s">
        <v>46</v>
      </c>
      <c r="J47" t="s">
        <v>47</v>
      </c>
      <c r="L47" t="s">
        <v>64</v>
      </c>
      <c r="M47" t="s">
        <v>238</v>
      </c>
      <c r="N47">
        <v>1.3</v>
      </c>
      <c r="O47" t="s">
        <v>50</v>
      </c>
      <c r="P47" t="s">
        <v>51</v>
      </c>
      <c r="Q47" t="s">
        <v>91</v>
      </c>
      <c r="U47" t="s">
        <v>53</v>
      </c>
      <c r="V47" t="s">
        <v>54</v>
      </c>
      <c r="W47" t="str">
        <f>"1"</f>
        <v>1</v>
      </c>
      <c r="X47" t="str">
        <f>"4"</f>
        <v>4</v>
      </c>
      <c r="Y47" t="str">
        <f>"4"</f>
        <v>4</v>
      </c>
      <c r="Z47" t="str">
        <f>"4"</f>
        <v>4</v>
      </c>
      <c r="AA47" t="str">
        <f t="shared" si="0"/>
        <v>3</v>
      </c>
      <c r="AB47" t="s">
        <v>55</v>
      </c>
      <c r="AE47" t="s">
        <v>84</v>
      </c>
      <c r="AK47" t="s">
        <v>54</v>
      </c>
      <c r="AL47">
        <v>0</v>
      </c>
    </row>
    <row r="48" spans="1:42" x14ac:dyDescent="0.3">
      <c r="A48">
        <v>2169626</v>
      </c>
      <c r="B48">
        <v>55931</v>
      </c>
      <c r="C48" t="str">
        <f>"821023450874"</f>
        <v>821023450874</v>
      </c>
      <c r="D48" t="s">
        <v>239</v>
      </c>
      <c r="E48" t="s">
        <v>87</v>
      </c>
      <c r="F48" t="s">
        <v>240</v>
      </c>
      <c r="G48" s="1">
        <v>30247</v>
      </c>
      <c r="H48" t="s">
        <v>45</v>
      </c>
      <c r="I48" t="s">
        <v>241</v>
      </c>
      <c r="J48" t="s">
        <v>47</v>
      </c>
      <c r="L48" t="s">
        <v>64</v>
      </c>
      <c r="M48" t="s">
        <v>90</v>
      </c>
      <c r="N48">
        <v>1.2</v>
      </c>
      <c r="O48" t="s">
        <v>50</v>
      </c>
      <c r="P48" t="s">
        <v>51</v>
      </c>
      <c r="Q48" t="s">
        <v>52</v>
      </c>
      <c r="U48" t="s">
        <v>53</v>
      </c>
      <c r="V48" t="s">
        <v>54</v>
      </c>
      <c r="W48" t="str">
        <f>"9"</f>
        <v>9</v>
      </c>
      <c r="X48" t="str">
        <f>"11"</f>
        <v>11</v>
      </c>
      <c r="Y48" t="str">
        <f>"7"</f>
        <v>7</v>
      </c>
      <c r="Z48" t="str">
        <f>"7"</f>
        <v>7</v>
      </c>
      <c r="AA48" t="str">
        <f>"2"</f>
        <v>2</v>
      </c>
      <c r="AB48" t="s">
        <v>55</v>
      </c>
      <c r="AE48" t="s">
        <v>94</v>
      </c>
      <c r="AG48" t="s">
        <v>95</v>
      </c>
      <c r="AH48" t="s">
        <v>58</v>
      </c>
      <c r="AI48">
        <v>1.2</v>
      </c>
      <c r="AJ48" t="str">
        <f>"[19]"</f>
        <v>[19]</v>
      </c>
      <c r="AK48" t="s">
        <v>54</v>
      </c>
      <c r="AL48">
        <v>0</v>
      </c>
    </row>
    <row r="49" spans="1:42" x14ac:dyDescent="0.3">
      <c r="A49">
        <v>2259372</v>
      </c>
      <c r="B49">
        <v>72318</v>
      </c>
      <c r="C49" t="str">
        <f>"961202450687"</f>
        <v>961202450687</v>
      </c>
      <c r="D49" t="s">
        <v>242</v>
      </c>
      <c r="E49" t="s">
        <v>243</v>
      </c>
      <c r="F49" t="s">
        <v>244</v>
      </c>
      <c r="G49" s="1">
        <v>35401</v>
      </c>
      <c r="H49" t="s">
        <v>45</v>
      </c>
      <c r="I49" t="s">
        <v>46</v>
      </c>
      <c r="J49" t="s">
        <v>47</v>
      </c>
      <c r="L49" t="s">
        <v>64</v>
      </c>
      <c r="M49" t="s">
        <v>90</v>
      </c>
      <c r="N49">
        <v>1.4</v>
      </c>
      <c r="O49" t="s">
        <v>50</v>
      </c>
      <c r="P49" t="s">
        <v>51</v>
      </c>
      <c r="Q49" t="s">
        <v>52</v>
      </c>
      <c r="U49" t="s">
        <v>53</v>
      </c>
      <c r="V49" t="s">
        <v>54</v>
      </c>
      <c r="W49" t="str">
        <f>"2"</f>
        <v>2</v>
      </c>
      <c r="X49" t="str">
        <f>"4"</f>
        <v>4</v>
      </c>
      <c r="Y49" t="str">
        <f>"4"</f>
        <v>4</v>
      </c>
      <c r="Z49" t="str">
        <f>"4"</f>
        <v>4</v>
      </c>
      <c r="AA49" t="str">
        <f>"2"</f>
        <v>2</v>
      </c>
      <c r="AB49" t="s">
        <v>73</v>
      </c>
      <c r="AC49" t="s">
        <v>105</v>
      </c>
      <c r="AE49" t="s">
        <v>84</v>
      </c>
      <c r="AG49" t="s">
        <v>95</v>
      </c>
      <c r="AH49" t="s">
        <v>58</v>
      </c>
      <c r="AI49">
        <v>1.4</v>
      </c>
      <c r="AJ49" t="str">
        <f>"[23]"</f>
        <v>[23]</v>
      </c>
      <c r="AK49" t="s">
        <v>54</v>
      </c>
      <c r="AL49">
        <v>0</v>
      </c>
    </row>
    <row r="50" spans="1:42" x14ac:dyDescent="0.3">
      <c r="A50">
        <v>2259464</v>
      </c>
      <c r="B50">
        <v>73464</v>
      </c>
      <c r="C50" t="str">
        <f>"701216350042"</f>
        <v>701216350042</v>
      </c>
      <c r="D50" t="s">
        <v>245</v>
      </c>
      <c r="E50" t="s">
        <v>229</v>
      </c>
      <c r="F50" t="s">
        <v>246</v>
      </c>
      <c r="G50" s="1">
        <v>25918</v>
      </c>
      <c r="H50" t="s">
        <v>206</v>
      </c>
      <c r="I50" t="s">
        <v>46</v>
      </c>
      <c r="J50" t="s">
        <v>47</v>
      </c>
      <c r="L50" t="s">
        <v>64</v>
      </c>
      <c r="M50" t="s">
        <v>49</v>
      </c>
      <c r="N50">
        <v>1</v>
      </c>
      <c r="O50" t="s">
        <v>50</v>
      </c>
      <c r="P50" t="s">
        <v>51</v>
      </c>
      <c r="Q50" t="s">
        <v>52</v>
      </c>
      <c r="U50" t="s">
        <v>53</v>
      </c>
      <c r="V50" t="s">
        <v>54</v>
      </c>
      <c r="W50" t="str">
        <f>"25"</f>
        <v>25</v>
      </c>
      <c r="X50" t="str">
        <f>"27"</f>
        <v>27</v>
      </c>
      <c r="Y50" t="str">
        <f>"27"</f>
        <v>27</v>
      </c>
      <c r="Z50" t="str">
        <f>"27"</f>
        <v>27</v>
      </c>
      <c r="AA50" t="str">
        <f>"2"</f>
        <v>2</v>
      </c>
      <c r="AB50" t="s">
        <v>73</v>
      </c>
      <c r="AC50" t="s">
        <v>66</v>
      </c>
      <c r="AE50" t="s">
        <v>56</v>
      </c>
      <c r="AG50" t="s">
        <v>140</v>
      </c>
      <c r="AH50" t="s">
        <v>58</v>
      </c>
      <c r="AI50">
        <v>1</v>
      </c>
      <c r="AJ50" t="str">
        <f>"[16]"</f>
        <v>[16]</v>
      </c>
      <c r="AK50" t="s">
        <v>49</v>
      </c>
      <c r="AL50">
        <v>0.5</v>
      </c>
      <c r="AM50" t="s">
        <v>231</v>
      </c>
      <c r="AN50" t="s">
        <v>92</v>
      </c>
      <c r="AO50" t="s">
        <v>136</v>
      </c>
      <c r="AP50">
        <v>0.5</v>
      </c>
    </row>
    <row r="51" spans="1:42" x14ac:dyDescent="0.3">
      <c r="A51">
        <v>2259541</v>
      </c>
      <c r="B51">
        <v>1549043</v>
      </c>
      <c r="C51" t="str">
        <f>"920204450320"</f>
        <v>920204450320</v>
      </c>
      <c r="D51" t="s">
        <v>247</v>
      </c>
      <c r="E51" t="s">
        <v>248</v>
      </c>
      <c r="F51" t="s">
        <v>114</v>
      </c>
      <c r="G51" s="1">
        <v>33638</v>
      </c>
      <c r="H51" t="s">
        <v>45</v>
      </c>
      <c r="I51" t="s">
        <v>89</v>
      </c>
      <c r="J51" t="s">
        <v>47</v>
      </c>
      <c r="L51" t="s">
        <v>64</v>
      </c>
      <c r="M51" t="s">
        <v>238</v>
      </c>
      <c r="N51">
        <v>1.1000000000000001</v>
      </c>
      <c r="O51" t="s">
        <v>50</v>
      </c>
      <c r="P51" t="s">
        <v>51</v>
      </c>
      <c r="Q51" t="s">
        <v>91</v>
      </c>
      <c r="U51" t="s">
        <v>53</v>
      </c>
      <c r="V51" t="s">
        <v>54</v>
      </c>
      <c r="W51" t="str">
        <f>"4"</f>
        <v>4</v>
      </c>
      <c r="X51" t="str">
        <f>"6"</f>
        <v>6</v>
      </c>
      <c r="Y51" t="str">
        <f>"2"</f>
        <v>2</v>
      </c>
      <c r="Z51" t="str">
        <f>"2"</f>
        <v>2</v>
      </c>
      <c r="AA51" t="str">
        <f>"2"</f>
        <v>2</v>
      </c>
      <c r="AB51" t="s">
        <v>55</v>
      </c>
      <c r="AE51" t="s">
        <v>94</v>
      </c>
      <c r="AK51" t="s">
        <v>90</v>
      </c>
      <c r="AL51">
        <v>0.5</v>
      </c>
      <c r="AM51" t="s">
        <v>55</v>
      </c>
      <c r="AO51" t="s">
        <v>95</v>
      </c>
      <c r="AP51">
        <v>0.5</v>
      </c>
    </row>
    <row r="52" spans="1:42" x14ac:dyDescent="0.3">
      <c r="A52">
        <v>2406140</v>
      </c>
      <c r="B52">
        <v>1615521</v>
      </c>
      <c r="C52" t="str">
        <f>"870930050152"</f>
        <v>870930050152</v>
      </c>
      <c r="D52" t="s">
        <v>249</v>
      </c>
      <c r="E52" t="s">
        <v>250</v>
      </c>
      <c r="F52" t="s">
        <v>251</v>
      </c>
      <c r="G52" s="1">
        <v>32050</v>
      </c>
      <c r="H52" t="s">
        <v>45</v>
      </c>
      <c r="I52" t="s">
        <v>252</v>
      </c>
      <c r="J52" t="s">
        <v>47</v>
      </c>
      <c r="L52" t="s">
        <v>64</v>
      </c>
      <c r="M52" t="s">
        <v>177</v>
      </c>
      <c r="N52">
        <v>1.5</v>
      </c>
      <c r="O52" t="s">
        <v>50</v>
      </c>
      <c r="P52" t="s">
        <v>51</v>
      </c>
      <c r="Q52" t="s">
        <v>183</v>
      </c>
      <c r="U52" t="s">
        <v>179</v>
      </c>
      <c r="W52" t="str">
        <f>"6"</f>
        <v>6</v>
      </c>
      <c r="X52" t="str">
        <f>"8"</f>
        <v>8</v>
      </c>
      <c r="Z52" t="str">
        <f>"0"</f>
        <v>0</v>
      </c>
      <c r="AA52" t="str">
        <f>"2"</f>
        <v>2</v>
      </c>
      <c r="AK52" t="s">
        <v>54</v>
      </c>
      <c r="AL52">
        <v>0</v>
      </c>
    </row>
    <row r="53" spans="1:42" x14ac:dyDescent="0.3">
      <c r="A53">
        <v>2409871</v>
      </c>
      <c r="B53">
        <v>1617334</v>
      </c>
      <c r="C53" t="str">
        <f>"940213401404"</f>
        <v>940213401404</v>
      </c>
      <c r="D53" t="s">
        <v>253</v>
      </c>
      <c r="E53" t="s">
        <v>254</v>
      </c>
      <c r="F53" t="s">
        <v>255</v>
      </c>
      <c r="G53" s="1">
        <v>34378</v>
      </c>
      <c r="H53" t="s">
        <v>45</v>
      </c>
      <c r="I53" t="s">
        <v>46</v>
      </c>
      <c r="J53" t="s">
        <v>47</v>
      </c>
      <c r="L53" t="s">
        <v>64</v>
      </c>
      <c r="M53" t="s">
        <v>49</v>
      </c>
      <c r="N53">
        <v>1.5</v>
      </c>
      <c r="O53" t="s">
        <v>50</v>
      </c>
      <c r="P53" t="s">
        <v>51</v>
      </c>
      <c r="Q53" t="s">
        <v>91</v>
      </c>
      <c r="R53" t="s">
        <v>63</v>
      </c>
      <c r="U53" t="s">
        <v>53</v>
      </c>
      <c r="V53" t="s">
        <v>54</v>
      </c>
      <c r="W53" t="str">
        <f>"1"</f>
        <v>1</v>
      </c>
      <c r="X53" t="str">
        <f>"2"</f>
        <v>2</v>
      </c>
      <c r="Y53" t="str">
        <f t="shared" ref="Y53:AA55" si="1">"1"</f>
        <v>1</v>
      </c>
      <c r="Z53" t="str">
        <f t="shared" si="1"/>
        <v>1</v>
      </c>
      <c r="AA53" t="str">
        <f t="shared" si="1"/>
        <v>1</v>
      </c>
      <c r="AB53" t="s">
        <v>55</v>
      </c>
      <c r="AE53" t="s">
        <v>84</v>
      </c>
      <c r="AG53" t="s">
        <v>162</v>
      </c>
      <c r="AH53" t="s">
        <v>96</v>
      </c>
      <c r="AI53">
        <v>1.5</v>
      </c>
      <c r="AJ53" t="str">
        <f>"[24]"</f>
        <v>[24]</v>
      </c>
      <c r="AK53" t="s">
        <v>54</v>
      </c>
      <c r="AL53">
        <v>0</v>
      </c>
    </row>
    <row r="54" spans="1:42" x14ac:dyDescent="0.3">
      <c r="A54">
        <v>2549896</v>
      </c>
      <c r="B54">
        <v>1671660</v>
      </c>
      <c r="C54" t="str">
        <f>"030101651503"</f>
        <v>030101651503</v>
      </c>
      <c r="D54" t="s">
        <v>256</v>
      </c>
      <c r="E54" t="s">
        <v>257</v>
      </c>
      <c r="F54" t="s">
        <v>258</v>
      </c>
      <c r="G54" s="1">
        <v>37622</v>
      </c>
      <c r="H54" t="s">
        <v>45</v>
      </c>
      <c r="I54" t="s">
        <v>46</v>
      </c>
      <c r="J54" t="s">
        <v>47</v>
      </c>
      <c r="L54" t="s">
        <v>64</v>
      </c>
      <c r="M54" t="s">
        <v>49</v>
      </c>
      <c r="N54">
        <v>1.4</v>
      </c>
      <c r="O54" t="s">
        <v>50</v>
      </c>
      <c r="P54" t="s">
        <v>51</v>
      </c>
      <c r="Q54" t="s">
        <v>91</v>
      </c>
      <c r="U54" t="s">
        <v>53</v>
      </c>
      <c r="V54" t="s">
        <v>54</v>
      </c>
      <c r="W54" t="str">
        <f>"0"</f>
        <v>0</v>
      </c>
      <c r="X54" t="str">
        <f>"1"</f>
        <v>1</v>
      </c>
      <c r="Y54" t="str">
        <f t="shared" si="1"/>
        <v>1</v>
      </c>
      <c r="Z54" t="str">
        <f t="shared" si="1"/>
        <v>1</v>
      </c>
      <c r="AA54" t="str">
        <f t="shared" si="1"/>
        <v>1</v>
      </c>
      <c r="AB54" t="s">
        <v>55</v>
      </c>
      <c r="AE54" t="s">
        <v>94</v>
      </c>
      <c r="AG54" t="s">
        <v>85</v>
      </c>
      <c r="AH54" t="s">
        <v>96</v>
      </c>
      <c r="AI54">
        <v>1.4</v>
      </c>
      <c r="AJ54" t="str">
        <f>"[23]"</f>
        <v>[23]</v>
      </c>
      <c r="AK54" t="s">
        <v>54</v>
      </c>
      <c r="AL54">
        <v>0</v>
      </c>
    </row>
    <row r="55" spans="1:42" x14ac:dyDescent="0.3">
      <c r="A55">
        <v>2549917</v>
      </c>
      <c r="B55">
        <v>1671666</v>
      </c>
      <c r="C55" t="str">
        <f>"000621651585"</f>
        <v>000621651585</v>
      </c>
      <c r="D55" t="s">
        <v>259</v>
      </c>
      <c r="E55" t="s">
        <v>260</v>
      </c>
      <c r="F55" t="s">
        <v>261</v>
      </c>
      <c r="G55" s="1">
        <v>36698</v>
      </c>
      <c r="H55" t="s">
        <v>45</v>
      </c>
      <c r="I55" t="s">
        <v>46</v>
      </c>
      <c r="J55" t="s">
        <v>47</v>
      </c>
      <c r="L55" t="s">
        <v>64</v>
      </c>
      <c r="M55" t="s">
        <v>49</v>
      </c>
      <c r="N55">
        <v>1.5</v>
      </c>
      <c r="O55" t="s">
        <v>50</v>
      </c>
      <c r="P55" t="s">
        <v>51</v>
      </c>
      <c r="Q55" t="s">
        <v>52</v>
      </c>
      <c r="U55" t="s">
        <v>53</v>
      </c>
      <c r="V55" t="s">
        <v>54</v>
      </c>
      <c r="W55" t="str">
        <f>"0"</f>
        <v>0</v>
      </c>
      <c r="X55" t="str">
        <f>"1"</f>
        <v>1</v>
      </c>
      <c r="Y55" t="str">
        <f t="shared" si="1"/>
        <v>1</v>
      </c>
      <c r="Z55" t="str">
        <f t="shared" si="1"/>
        <v>1</v>
      </c>
      <c r="AA55" t="str">
        <f t="shared" si="1"/>
        <v>1</v>
      </c>
      <c r="AB55" t="s">
        <v>55</v>
      </c>
      <c r="AE55" t="s">
        <v>94</v>
      </c>
      <c r="AG55" t="s">
        <v>209</v>
      </c>
      <c r="AH55" t="s">
        <v>58</v>
      </c>
      <c r="AI55">
        <v>1.5</v>
      </c>
      <c r="AJ55" t="str">
        <f>"[23]"</f>
        <v>[23]</v>
      </c>
      <c r="AK55" t="s">
        <v>54</v>
      </c>
      <c r="AL55">
        <v>0</v>
      </c>
    </row>
    <row r="56" spans="1:42" x14ac:dyDescent="0.3">
      <c r="A56">
        <v>2549982</v>
      </c>
      <c r="B56">
        <v>99917</v>
      </c>
      <c r="C56" t="str">
        <f>"970131450680"</f>
        <v>970131450680</v>
      </c>
      <c r="D56" t="s">
        <v>262</v>
      </c>
      <c r="E56" t="s">
        <v>263</v>
      </c>
      <c r="F56" t="s">
        <v>264</v>
      </c>
      <c r="G56" s="1">
        <v>35461</v>
      </c>
      <c r="H56" t="s">
        <v>45</v>
      </c>
      <c r="I56" t="s">
        <v>46</v>
      </c>
      <c r="J56" t="s">
        <v>47</v>
      </c>
      <c r="L56" t="s">
        <v>48</v>
      </c>
      <c r="M56" t="s">
        <v>49</v>
      </c>
      <c r="N56">
        <v>0</v>
      </c>
      <c r="O56" t="s">
        <v>50</v>
      </c>
      <c r="P56" t="s">
        <v>51</v>
      </c>
      <c r="Q56" t="s">
        <v>52</v>
      </c>
      <c r="U56" t="s">
        <v>53</v>
      </c>
      <c r="V56" t="s">
        <v>54</v>
      </c>
      <c r="W56" t="str">
        <f>"6"</f>
        <v>6</v>
      </c>
      <c r="X56" t="str">
        <f>"6"</f>
        <v>6</v>
      </c>
      <c r="Y56" t="str">
        <f>"6"</f>
        <v>6</v>
      </c>
      <c r="Z56" t="str">
        <f>"6"</f>
        <v>6</v>
      </c>
      <c r="AA56" t="str">
        <f>"0"</f>
        <v>0</v>
      </c>
      <c r="AB56" t="s">
        <v>55</v>
      </c>
      <c r="AE56" t="s">
        <v>84</v>
      </c>
      <c r="AG56" t="s">
        <v>67</v>
      </c>
      <c r="AH56" t="s">
        <v>58</v>
      </c>
      <c r="AI56">
        <v>0</v>
      </c>
      <c r="AJ56" t="str">
        <f>"[0]"</f>
        <v>[0]</v>
      </c>
      <c r="AK56" t="s">
        <v>54</v>
      </c>
      <c r="AL56">
        <v>0</v>
      </c>
    </row>
    <row r="57" spans="1:42" x14ac:dyDescent="0.3">
      <c r="A57">
        <v>2550030</v>
      </c>
      <c r="B57">
        <v>64202</v>
      </c>
      <c r="C57" t="str">
        <f>"811105451073"</f>
        <v>811105451073</v>
      </c>
      <c r="D57" t="s">
        <v>265</v>
      </c>
      <c r="E57" t="s">
        <v>266</v>
      </c>
      <c r="F57" t="s">
        <v>267</v>
      </c>
      <c r="G57" s="1">
        <v>29895</v>
      </c>
      <c r="H57" t="s">
        <v>45</v>
      </c>
      <c r="I57" t="s">
        <v>46</v>
      </c>
      <c r="J57" t="s">
        <v>47</v>
      </c>
      <c r="L57" t="s">
        <v>64</v>
      </c>
      <c r="M57" t="s">
        <v>90</v>
      </c>
      <c r="N57">
        <v>1.5</v>
      </c>
      <c r="O57" t="s">
        <v>50</v>
      </c>
      <c r="P57" t="s">
        <v>51</v>
      </c>
      <c r="Q57" t="s">
        <v>52</v>
      </c>
      <c r="U57" t="s">
        <v>53</v>
      </c>
      <c r="V57" t="s">
        <v>54</v>
      </c>
      <c r="W57" t="str">
        <f>"19"</f>
        <v>19</v>
      </c>
      <c r="X57" t="str">
        <f>"20"</f>
        <v>20</v>
      </c>
      <c r="Y57" t="str">
        <f>"20"</f>
        <v>20</v>
      </c>
      <c r="Z57" t="str">
        <f>"20"</f>
        <v>20</v>
      </c>
      <c r="AA57" t="str">
        <f>"1"</f>
        <v>1</v>
      </c>
      <c r="AB57" t="s">
        <v>65</v>
      </c>
      <c r="AC57" t="s">
        <v>92</v>
      </c>
      <c r="AD57" t="s">
        <v>93</v>
      </c>
      <c r="AE57" t="s">
        <v>84</v>
      </c>
      <c r="AG57" t="s">
        <v>95</v>
      </c>
      <c r="AH57" t="s">
        <v>58</v>
      </c>
      <c r="AI57">
        <v>1.5</v>
      </c>
      <c r="AJ57" t="str">
        <f>"[24]"</f>
        <v>[24]</v>
      </c>
      <c r="AK57" t="s">
        <v>54</v>
      </c>
      <c r="AL57">
        <v>0</v>
      </c>
    </row>
    <row r="58" spans="1:42" x14ac:dyDescent="0.3">
      <c r="A58">
        <v>2550039</v>
      </c>
      <c r="B58">
        <v>1552240</v>
      </c>
      <c r="C58" t="str">
        <f>"000302650919"</f>
        <v>000302650919</v>
      </c>
      <c r="D58" t="s">
        <v>268</v>
      </c>
      <c r="E58" t="s">
        <v>269</v>
      </c>
      <c r="F58" t="s">
        <v>270</v>
      </c>
      <c r="G58" s="1">
        <v>36587</v>
      </c>
      <c r="H58" t="s">
        <v>45</v>
      </c>
      <c r="I58" t="s">
        <v>46</v>
      </c>
      <c r="J58" t="s">
        <v>47</v>
      </c>
      <c r="L58" t="s">
        <v>48</v>
      </c>
      <c r="M58" t="s">
        <v>49</v>
      </c>
      <c r="N58">
        <v>0</v>
      </c>
      <c r="O58" t="s">
        <v>50</v>
      </c>
      <c r="P58" t="s">
        <v>51</v>
      </c>
      <c r="Q58" t="s">
        <v>52</v>
      </c>
      <c r="U58" t="s">
        <v>53</v>
      </c>
      <c r="V58" t="s">
        <v>54</v>
      </c>
      <c r="W58" t="str">
        <f>"1"</f>
        <v>1</v>
      </c>
      <c r="X58" t="str">
        <f>"1"</f>
        <v>1</v>
      </c>
      <c r="Y58" t="str">
        <f>"1"</f>
        <v>1</v>
      </c>
      <c r="Z58" t="str">
        <f>"1"</f>
        <v>1</v>
      </c>
      <c r="AA58" t="str">
        <f>"0"</f>
        <v>0</v>
      </c>
      <c r="AB58" t="s">
        <v>55</v>
      </c>
      <c r="AE58" t="s">
        <v>80</v>
      </c>
      <c r="AG58" t="s">
        <v>120</v>
      </c>
      <c r="AH58" t="s">
        <v>58</v>
      </c>
      <c r="AI58">
        <v>0</v>
      </c>
      <c r="AJ58" t="str">
        <f>"[0]"</f>
        <v>[0]</v>
      </c>
      <c r="AK58" t="s">
        <v>54</v>
      </c>
      <c r="AL58">
        <v>0</v>
      </c>
    </row>
    <row r="59" spans="1:42" x14ac:dyDescent="0.3">
      <c r="A59">
        <v>2553357</v>
      </c>
      <c r="B59">
        <v>56706</v>
      </c>
      <c r="C59" t="str">
        <f>"840430450263"</f>
        <v>840430450263</v>
      </c>
      <c r="D59" t="s">
        <v>271</v>
      </c>
      <c r="E59" t="s">
        <v>272</v>
      </c>
      <c r="F59" t="s">
        <v>273</v>
      </c>
      <c r="G59" s="1">
        <v>30802</v>
      </c>
      <c r="H59" t="s">
        <v>45</v>
      </c>
      <c r="I59" t="s">
        <v>46</v>
      </c>
      <c r="J59" t="s">
        <v>47</v>
      </c>
      <c r="L59" t="s">
        <v>64</v>
      </c>
      <c r="M59" t="s">
        <v>49</v>
      </c>
      <c r="N59">
        <v>1.5</v>
      </c>
      <c r="O59" t="s">
        <v>50</v>
      </c>
      <c r="P59" t="s">
        <v>51</v>
      </c>
      <c r="Q59" t="s">
        <v>52</v>
      </c>
      <c r="U59" t="s">
        <v>53</v>
      </c>
      <c r="V59" t="s">
        <v>54</v>
      </c>
      <c r="W59" t="str">
        <f>"16"</f>
        <v>16</v>
      </c>
      <c r="X59" t="str">
        <f>"18"</f>
        <v>18</v>
      </c>
      <c r="Y59" t="str">
        <f>"17"</f>
        <v>17</v>
      </c>
      <c r="Z59" t="str">
        <f>"17"</f>
        <v>17</v>
      </c>
      <c r="AA59" t="str">
        <f>"2"</f>
        <v>2</v>
      </c>
      <c r="AB59" t="s">
        <v>274</v>
      </c>
      <c r="AC59" t="s">
        <v>275</v>
      </c>
      <c r="AE59" t="s">
        <v>84</v>
      </c>
      <c r="AG59" t="s">
        <v>140</v>
      </c>
      <c r="AH59" t="s">
        <v>58</v>
      </c>
      <c r="AI59">
        <v>1.5</v>
      </c>
      <c r="AJ59" t="str">
        <f>"[24]"</f>
        <v>[24]</v>
      </c>
      <c r="AK59" t="s">
        <v>54</v>
      </c>
      <c r="AL59">
        <v>0</v>
      </c>
    </row>
    <row r="60" spans="1:42" x14ac:dyDescent="0.3">
      <c r="A60">
        <v>2577189</v>
      </c>
      <c r="B60">
        <v>76457</v>
      </c>
      <c r="C60" t="str">
        <f>"960516450730"</f>
        <v>960516450730</v>
      </c>
      <c r="D60" t="s">
        <v>276</v>
      </c>
      <c r="E60" t="s">
        <v>277</v>
      </c>
      <c r="F60" t="s">
        <v>278</v>
      </c>
      <c r="G60" s="1">
        <v>35201</v>
      </c>
      <c r="H60" t="s">
        <v>45</v>
      </c>
      <c r="I60" t="s">
        <v>46</v>
      </c>
      <c r="J60" t="s">
        <v>47</v>
      </c>
      <c r="L60" t="s">
        <v>48</v>
      </c>
      <c r="M60" t="s">
        <v>79</v>
      </c>
      <c r="N60">
        <v>0</v>
      </c>
      <c r="O60" t="s">
        <v>50</v>
      </c>
      <c r="P60" t="s">
        <v>51</v>
      </c>
      <c r="Q60" t="s">
        <v>52</v>
      </c>
      <c r="U60" t="s">
        <v>53</v>
      </c>
      <c r="V60" t="s">
        <v>54</v>
      </c>
      <c r="W60" t="str">
        <f>"4"</f>
        <v>4</v>
      </c>
      <c r="X60" t="str">
        <f>"5"</f>
        <v>5</v>
      </c>
      <c r="Y60" t="str">
        <f>"4"</f>
        <v>4</v>
      </c>
      <c r="Z60" t="str">
        <f>"4"</f>
        <v>4</v>
      </c>
      <c r="AA60" t="str">
        <f>"1"</f>
        <v>1</v>
      </c>
      <c r="AB60" t="s">
        <v>73</v>
      </c>
      <c r="AC60" t="s">
        <v>92</v>
      </c>
      <c r="AE60" t="s">
        <v>84</v>
      </c>
      <c r="AK60" t="s">
        <v>54</v>
      </c>
      <c r="AL60">
        <v>0</v>
      </c>
    </row>
    <row r="61" spans="1:42" x14ac:dyDescent="0.3">
      <c r="A61">
        <v>2605871</v>
      </c>
      <c r="B61">
        <v>157142</v>
      </c>
      <c r="C61" t="str">
        <f>"800213402048"</f>
        <v>800213402048</v>
      </c>
      <c r="D61" t="s">
        <v>279</v>
      </c>
      <c r="E61" t="s">
        <v>280</v>
      </c>
      <c r="F61" t="s">
        <v>100</v>
      </c>
      <c r="G61" s="1">
        <v>29264</v>
      </c>
      <c r="H61" t="s">
        <v>45</v>
      </c>
      <c r="I61" t="s">
        <v>46</v>
      </c>
      <c r="J61" t="s">
        <v>47</v>
      </c>
      <c r="L61" t="s">
        <v>64</v>
      </c>
      <c r="M61" t="s">
        <v>49</v>
      </c>
      <c r="N61">
        <v>1.5</v>
      </c>
      <c r="O61" t="s">
        <v>50</v>
      </c>
      <c r="P61" t="s">
        <v>51</v>
      </c>
      <c r="Q61" t="s">
        <v>52</v>
      </c>
      <c r="U61" t="s">
        <v>53</v>
      </c>
      <c r="V61" t="s">
        <v>54</v>
      </c>
      <c r="W61" t="str">
        <f>"15"</f>
        <v>15</v>
      </c>
      <c r="X61" t="str">
        <f>"16"</f>
        <v>16</v>
      </c>
      <c r="Y61" t="str">
        <f>"11"</f>
        <v>11</v>
      </c>
      <c r="Z61" t="str">
        <f>"11"</f>
        <v>11</v>
      </c>
      <c r="AA61" t="str">
        <f>"1"</f>
        <v>1</v>
      </c>
      <c r="AB61" t="s">
        <v>55</v>
      </c>
      <c r="AE61" t="s">
        <v>94</v>
      </c>
      <c r="AG61" t="s">
        <v>152</v>
      </c>
      <c r="AH61" t="s">
        <v>58</v>
      </c>
      <c r="AI61">
        <v>1.5</v>
      </c>
      <c r="AJ61" t="str">
        <f>"[24]"</f>
        <v>[24]</v>
      </c>
      <c r="AK61" t="s">
        <v>54</v>
      </c>
      <c r="AL61">
        <v>0</v>
      </c>
    </row>
    <row r="62" spans="1:42" x14ac:dyDescent="0.3">
      <c r="A62">
        <v>2609110</v>
      </c>
      <c r="B62">
        <v>141547</v>
      </c>
      <c r="C62" t="str">
        <f>"720908399035"</f>
        <v>720908399035</v>
      </c>
      <c r="D62" t="s">
        <v>281</v>
      </c>
      <c r="E62" t="s">
        <v>282</v>
      </c>
      <c r="F62" t="s">
        <v>283</v>
      </c>
      <c r="G62" s="1">
        <v>26550</v>
      </c>
      <c r="H62" t="s">
        <v>206</v>
      </c>
      <c r="I62" t="s">
        <v>89</v>
      </c>
      <c r="J62" t="s">
        <v>284</v>
      </c>
      <c r="L62" t="s">
        <v>64</v>
      </c>
      <c r="M62" t="s">
        <v>285</v>
      </c>
      <c r="N62">
        <v>1</v>
      </c>
      <c r="O62" t="s">
        <v>286</v>
      </c>
      <c r="P62" t="s">
        <v>51</v>
      </c>
      <c r="Q62" t="s">
        <v>287</v>
      </c>
      <c r="U62" t="s">
        <v>179</v>
      </c>
      <c r="W62" t="str">
        <f>"12"</f>
        <v>12</v>
      </c>
      <c r="X62" t="str">
        <f>"17"</f>
        <v>17</v>
      </c>
      <c r="Z62" t="str">
        <f>"0"</f>
        <v>0</v>
      </c>
      <c r="AA62" t="str">
        <f>"5"</f>
        <v>5</v>
      </c>
      <c r="AK62" t="s">
        <v>54</v>
      </c>
      <c r="AL62">
        <v>0</v>
      </c>
    </row>
    <row r="63" spans="1:42" x14ac:dyDescent="0.3">
      <c r="A63">
        <v>2609147</v>
      </c>
      <c r="B63">
        <v>1699906</v>
      </c>
      <c r="C63" t="str">
        <f>"910224450942"</f>
        <v>910224450942</v>
      </c>
      <c r="D63" t="s">
        <v>288</v>
      </c>
      <c r="E63" t="s">
        <v>289</v>
      </c>
      <c r="F63" t="s">
        <v>290</v>
      </c>
      <c r="G63" s="1">
        <v>33293</v>
      </c>
      <c r="H63" t="s">
        <v>45</v>
      </c>
      <c r="I63" t="s">
        <v>46</v>
      </c>
      <c r="J63" t="s">
        <v>47</v>
      </c>
      <c r="L63" t="s">
        <v>64</v>
      </c>
      <c r="M63" t="s">
        <v>291</v>
      </c>
      <c r="N63">
        <v>1</v>
      </c>
      <c r="O63" t="s">
        <v>50</v>
      </c>
      <c r="P63" t="s">
        <v>51</v>
      </c>
      <c r="Q63" t="s">
        <v>178</v>
      </c>
      <c r="U63" t="s">
        <v>179</v>
      </c>
      <c r="W63" t="str">
        <f>"10"</f>
        <v>10</v>
      </c>
      <c r="X63" t="str">
        <f>"11"</f>
        <v>11</v>
      </c>
      <c r="Z63" t="str">
        <f>"0"</f>
        <v>0</v>
      </c>
      <c r="AA63" t="str">
        <f>"1"</f>
        <v>1</v>
      </c>
      <c r="AK63" t="s">
        <v>292</v>
      </c>
      <c r="AL63">
        <v>0.5</v>
      </c>
    </row>
    <row r="64" spans="1:42" x14ac:dyDescent="0.3">
      <c r="A64">
        <v>2610167</v>
      </c>
      <c r="B64">
        <v>1700308</v>
      </c>
      <c r="C64" t="str">
        <f>"941003451302"</f>
        <v>941003451302</v>
      </c>
      <c r="D64" t="s">
        <v>293</v>
      </c>
      <c r="E64" t="s">
        <v>294</v>
      </c>
      <c r="G64" s="1">
        <v>34610</v>
      </c>
      <c r="H64" t="s">
        <v>45</v>
      </c>
      <c r="I64" t="s">
        <v>46</v>
      </c>
      <c r="J64" t="s">
        <v>47</v>
      </c>
      <c r="L64" t="s">
        <v>48</v>
      </c>
      <c r="M64" t="s">
        <v>292</v>
      </c>
      <c r="N64">
        <v>0</v>
      </c>
      <c r="O64" t="s">
        <v>50</v>
      </c>
      <c r="P64" t="s">
        <v>51</v>
      </c>
      <c r="Q64" t="s">
        <v>52</v>
      </c>
      <c r="U64" t="s">
        <v>53</v>
      </c>
      <c r="V64" t="s">
        <v>54</v>
      </c>
      <c r="W64" t="str">
        <f>"1"</f>
        <v>1</v>
      </c>
      <c r="X64" t="str">
        <f>"2"</f>
        <v>2</v>
      </c>
      <c r="Z64" t="str">
        <f>"0"</f>
        <v>0</v>
      </c>
      <c r="AA64" t="str">
        <f>"1"</f>
        <v>1</v>
      </c>
      <c r="AB64" t="s">
        <v>55</v>
      </c>
      <c r="AE64" t="s">
        <v>59</v>
      </c>
      <c r="AK64" t="s">
        <v>54</v>
      </c>
      <c r="AL64">
        <v>0</v>
      </c>
    </row>
    <row r="65" spans="1:42" x14ac:dyDescent="0.3">
      <c r="A65">
        <v>2630146</v>
      </c>
      <c r="B65">
        <v>155861</v>
      </c>
      <c r="C65" t="str">
        <f>"570720301337"</f>
        <v>570720301337</v>
      </c>
      <c r="D65" t="s">
        <v>295</v>
      </c>
      <c r="E65" t="s">
        <v>296</v>
      </c>
      <c r="F65" t="s">
        <v>297</v>
      </c>
      <c r="G65" s="1">
        <v>21021</v>
      </c>
      <c r="H65" t="s">
        <v>206</v>
      </c>
      <c r="I65" t="s">
        <v>298</v>
      </c>
      <c r="J65" t="s">
        <v>47</v>
      </c>
      <c r="L65" t="s">
        <v>64</v>
      </c>
      <c r="M65" t="s">
        <v>49</v>
      </c>
      <c r="N65">
        <v>1.2</v>
      </c>
      <c r="O65" t="s">
        <v>50</v>
      </c>
      <c r="P65" t="s">
        <v>51</v>
      </c>
      <c r="Q65" t="s">
        <v>52</v>
      </c>
      <c r="U65" t="s">
        <v>53</v>
      </c>
      <c r="V65" t="s">
        <v>54</v>
      </c>
      <c r="W65" t="str">
        <f>"37"</f>
        <v>37</v>
      </c>
      <c r="X65" t="str">
        <f>"38"</f>
        <v>38</v>
      </c>
      <c r="Y65" t="str">
        <f>"38"</f>
        <v>38</v>
      </c>
      <c r="Z65" t="str">
        <f>"38"</f>
        <v>38</v>
      </c>
      <c r="AA65" t="str">
        <f>"1"</f>
        <v>1</v>
      </c>
      <c r="AB65" t="s">
        <v>274</v>
      </c>
      <c r="AC65" t="s">
        <v>232</v>
      </c>
      <c r="AE65" t="s">
        <v>94</v>
      </c>
      <c r="AG65" t="s">
        <v>159</v>
      </c>
      <c r="AH65" t="s">
        <v>58</v>
      </c>
      <c r="AI65">
        <v>1.2</v>
      </c>
      <c r="AJ65" t="str">
        <f>"[19]"</f>
        <v>[19]</v>
      </c>
      <c r="AK65" t="s">
        <v>54</v>
      </c>
      <c r="AL65">
        <v>0</v>
      </c>
    </row>
    <row r="66" spans="1:42" x14ac:dyDescent="0.3">
      <c r="A66">
        <v>2630177</v>
      </c>
      <c r="B66">
        <v>59129</v>
      </c>
      <c r="C66" t="str">
        <f>"860513351488"</f>
        <v>860513351488</v>
      </c>
      <c r="D66" t="s">
        <v>299</v>
      </c>
      <c r="E66" t="s">
        <v>300</v>
      </c>
      <c r="G66" s="1">
        <v>31545</v>
      </c>
      <c r="H66" t="s">
        <v>206</v>
      </c>
      <c r="I66" t="s">
        <v>46</v>
      </c>
      <c r="J66" t="s">
        <v>47</v>
      </c>
      <c r="L66" t="s">
        <v>64</v>
      </c>
      <c r="M66" t="s">
        <v>49</v>
      </c>
      <c r="N66">
        <v>1.5</v>
      </c>
      <c r="O66" t="s">
        <v>50</v>
      </c>
      <c r="P66" t="s">
        <v>51</v>
      </c>
      <c r="Q66" t="s">
        <v>91</v>
      </c>
      <c r="U66" t="s">
        <v>53</v>
      </c>
      <c r="V66" t="s">
        <v>54</v>
      </c>
      <c r="W66" t="str">
        <f>"6"</f>
        <v>6</v>
      </c>
      <c r="X66" t="str">
        <f>"7"</f>
        <v>7</v>
      </c>
      <c r="Y66" t="str">
        <f>"3"</f>
        <v>3</v>
      </c>
      <c r="Z66" t="str">
        <f>"3"</f>
        <v>3</v>
      </c>
      <c r="AA66" t="str">
        <f>"1"</f>
        <v>1</v>
      </c>
      <c r="AB66" t="s">
        <v>55</v>
      </c>
      <c r="AE66" t="s">
        <v>56</v>
      </c>
      <c r="AG66" t="s">
        <v>67</v>
      </c>
      <c r="AH66" t="s">
        <v>96</v>
      </c>
      <c r="AI66">
        <v>1.5</v>
      </c>
      <c r="AJ66" t="str">
        <f>"[24]"</f>
        <v>[24]</v>
      </c>
      <c r="AK66" t="s">
        <v>54</v>
      </c>
      <c r="AL66">
        <v>0</v>
      </c>
    </row>
    <row r="67" spans="1:42" x14ac:dyDescent="0.3">
      <c r="A67">
        <v>2678646</v>
      </c>
      <c r="B67">
        <v>155785</v>
      </c>
      <c r="C67" t="str">
        <f>"960211450227"</f>
        <v>960211450227</v>
      </c>
      <c r="D67" t="s">
        <v>301</v>
      </c>
      <c r="E67" t="s">
        <v>302</v>
      </c>
      <c r="F67" t="s">
        <v>303</v>
      </c>
      <c r="G67" s="1">
        <v>35106</v>
      </c>
      <c r="H67" t="s">
        <v>45</v>
      </c>
      <c r="I67" t="s">
        <v>89</v>
      </c>
      <c r="J67" t="s">
        <v>47</v>
      </c>
      <c r="L67" t="s">
        <v>64</v>
      </c>
      <c r="M67" t="s">
        <v>49</v>
      </c>
      <c r="N67">
        <v>1.4</v>
      </c>
      <c r="O67" t="s">
        <v>50</v>
      </c>
      <c r="P67" t="s">
        <v>51</v>
      </c>
      <c r="Q67" t="s">
        <v>52</v>
      </c>
      <c r="U67" t="s">
        <v>53</v>
      </c>
      <c r="V67" t="s">
        <v>54</v>
      </c>
      <c r="W67" t="str">
        <f>"3"</f>
        <v>3</v>
      </c>
      <c r="X67" t="str">
        <f>"4"</f>
        <v>4</v>
      </c>
      <c r="Y67" t="str">
        <f>"4"</f>
        <v>4</v>
      </c>
      <c r="Z67" t="str">
        <f>"4"</f>
        <v>4</v>
      </c>
      <c r="AA67" t="str">
        <f>"1"</f>
        <v>1</v>
      </c>
      <c r="AB67" t="s">
        <v>55</v>
      </c>
      <c r="AE67" t="s">
        <v>94</v>
      </c>
      <c r="AG67" t="s">
        <v>85</v>
      </c>
      <c r="AH67" t="s">
        <v>58</v>
      </c>
      <c r="AI67">
        <v>1.4</v>
      </c>
      <c r="AJ67" t="str">
        <f>"[22]"</f>
        <v>[22]</v>
      </c>
      <c r="AK67" t="s">
        <v>54</v>
      </c>
      <c r="AL67">
        <v>0</v>
      </c>
    </row>
    <row r="68" spans="1:42" x14ac:dyDescent="0.3">
      <c r="A68">
        <v>2779355</v>
      </c>
      <c r="B68">
        <v>154497</v>
      </c>
      <c r="C68" t="str">
        <f>"890901451072"</f>
        <v>890901451072</v>
      </c>
      <c r="D68" t="s">
        <v>304</v>
      </c>
      <c r="E68" t="s">
        <v>305</v>
      </c>
      <c r="G68" s="1">
        <v>32752</v>
      </c>
      <c r="H68" t="s">
        <v>45</v>
      </c>
      <c r="I68" t="s">
        <v>46</v>
      </c>
      <c r="J68" t="s">
        <v>47</v>
      </c>
      <c r="L68" t="s">
        <v>64</v>
      </c>
      <c r="M68" t="s">
        <v>90</v>
      </c>
      <c r="N68">
        <v>1.3</v>
      </c>
      <c r="O68" t="s">
        <v>50</v>
      </c>
      <c r="P68" t="s">
        <v>102</v>
      </c>
      <c r="Q68" t="s">
        <v>103</v>
      </c>
      <c r="U68" t="s">
        <v>53</v>
      </c>
      <c r="V68" t="s">
        <v>54</v>
      </c>
      <c r="W68" t="str">
        <f>"14"</f>
        <v>14</v>
      </c>
      <c r="X68" t="str">
        <f>"14"</f>
        <v>14</v>
      </c>
      <c r="Y68" t="str">
        <f>"12"</f>
        <v>12</v>
      </c>
      <c r="Z68" t="str">
        <f>"12"</f>
        <v>12</v>
      </c>
      <c r="AA68" t="str">
        <f>"0"</f>
        <v>0</v>
      </c>
      <c r="AB68" t="s">
        <v>65</v>
      </c>
      <c r="AC68" t="s">
        <v>158</v>
      </c>
      <c r="AE68" t="s">
        <v>84</v>
      </c>
      <c r="AG68" t="s">
        <v>95</v>
      </c>
      <c r="AH68" t="s">
        <v>58</v>
      </c>
      <c r="AI68">
        <v>1.3</v>
      </c>
      <c r="AJ68" t="str">
        <f>"[20]"</f>
        <v>[20]</v>
      </c>
      <c r="AK68" t="s">
        <v>54</v>
      </c>
      <c r="AL68">
        <v>0</v>
      </c>
    </row>
    <row r="69" spans="1:42" x14ac:dyDescent="0.3">
      <c r="A69">
        <v>2779811</v>
      </c>
      <c r="B69">
        <v>157124</v>
      </c>
      <c r="C69" t="str">
        <f>"730216350607"</f>
        <v>730216350607</v>
      </c>
      <c r="D69" t="s">
        <v>306</v>
      </c>
      <c r="E69" t="s">
        <v>307</v>
      </c>
      <c r="G69" s="1">
        <v>26711</v>
      </c>
      <c r="H69" t="s">
        <v>206</v>
      </c>
      <c r="I69" t="s">
        <v>46</v>
      </c>
      <c r="J69" t="s">
        <v>284</v>
      </c>
      <c r="L69" t="s">
        <v>64</v>
      </c>
      <c r="M69" t="s">
        <v>49</v>
      </c>
      <c r="N69">
        <v>0.6</v>
      </c>
      <c r="O69" t="s">
        <v>286</v>
      </c>
      <c r="P69" t="s">
        <v>51</v>
      </c>
      <c r="Q69" t="s">
        <v>52</v>
      </c>
      <c r="U69" t="s">
        <v>53</v>
      </c>
      <c r="V69" t="s">
        <v>54</v>
      </c>
      <c r="W69" t="str">
        <f>"23"</f>
        <v>23</v>
      </c>
      <c r="X69" t="str">
        <f>"24"</f>
        <v>24</v>
      </c>
      <c r="Y69" t="str">
        <f>"23"</f>
        <v>23</v>
      </c>
      <c r="Z69" t="str">
        <f>"23"</f>
        <v>23</v>
      </c>
      <c r="AA69" t="str">
        <f>"1"</f>
        <v>1</v>
      </c>
      <c r="AB69" t="s">
        <v>55</v>
      </c>
      <c r="AC69" t="s">
        <v>74</v>
      </c>
      <c r="AE69" t="s">
        <v>84</v>
      </c>
      <c r="AG69" t="s">
        <v>159</v>
      </c>
      <c r="AH69" t="s">
        <v>58</v>
      </c>
      <c r="AI69">
        <v>0.6</v>
      </c>
      <c r="AJ69" t="str">
        <f>"[9]"</f>
        <v>[9]</v>
      </c>
      <c r="AK69" t="s">
        <v>308</v>
      </c>
      <c r="AL69">
        <v>1</v>
      </c>
    </row>
    <row r="70" spans="1:42" x14ac:dyDescent="0.3">
      <c r="A70">
        <v>2779813</v>
      </c>
      <c r="B70">
        <v>1771879</v>
      </c>
      <c r="C70" t="str">
        <f>"660514350156"</f>
        <v>660514350156</v>
      </c>
      <c r="D70" t="s">
        <v>309</v>
      </c>
      <c r="E70" t="s">
        <v>310</v>
      </c>
      <c r="F70" t="s">
        <v>311</v>
      </c>
      <c r="G70" s="1">
        <v>24241</v>
      </c>
      <c r="H70" t="s">
        <v>206</v>
      </c>
      <c r="I70" t="s">
        <v>89</v>
      </c>
      <c r="J70" t="s">
        <v>284</v>
      </c>
      <c r="L70" t="s">
        <v>64</v>
      </c>
      <c r="M70" t="s">
        <v>312</v>
      </c>
      <c r="N70">
        <v>1</v>
      </c>
      <c r="O70" t="s">
        <v>286</v>
      </c>
      <c r="P70" t="s">
        <v>51</v>
      </c>
      <c r="Q70" t="s">
        <v>178</v>
      </c>
      <c r="U70" t="s">
        <v>179</v>
      </c>
      <c r="W70" t="str">
        <f>"35"</f>
        <v>35</v>
      </c>
      <c r="X70" t="str">
        <f>"36"</f>
        <v>36</v>
      </c>
      <c r="Z70" t="str">
        <f>"0"</f>
        <v>0</v>
      </c>
      <c r="AA70" t="str">
        <f>"1"</f>
        <v>1</v>
      </c>
      <c r="AK70" t="s">
        <v>54</v>
      </c>
      <c r="AL70">
        <v>0</v>
      </c>
    </row>
    <row r="71" spans="1:42" x14ac:dyDescent="0.3">
      <c r="A71">
        <v>2779815</v>
      </c>
      <c r="B71">
        <v>1771880</v>
      </c>
      <c r="C71" t="str">
        <f>"910309450904"</f>
        <v>910309450904</v>
      </c>
      <c r="D71" t="s">
        <v>313</v>
      </c>
      <c r="E71" t="s">
        <v>61</v>
      </c>
      <c r="F71" t="s">
        <v>314</v>
      </c>
      <c r="G71" s="1">
        <v>33306</v>
      </c>
      <c r="H71" t="s">
        <v>45</v>
      </c>
      <c r="I71" t="s">
        <v>46</v>
      </c>
      <c r="J71" t="s">
        <v>47</v>
      </c>
      <c r="L71" t="s">
        <v>64</v>
      </c>
      <c r="M71" t="s">
        <v>315</v>
      </c>
      <c r="N71">
        <v>1.5</v>
      </c>
      <c r="O71" t="s">
        <v>50</v>
      </c>
      <c r="P71" t="s">
        <v>51</v>
      </c>
      <c r="Q71" t="s">
        <v>178</v>
      </c>
      <c r="U71" t="s">
        <v>179</v>
      </c>
      <c r="W71" t="str">
        <f>"5"</f>
        <v>5</v>
      </c>
      <c r="X71" t="str">
        <f>"6"</f>
        <v>6</v>
      </c>
      <c r="Z71" t="str">
        <f>"0"</f>
        <v>0</v>
      </c>
      <c r="AA71" t="str">
        <f>"1"</f>
        <v>1</v>
      </c>
      <c r="AK71" t="s">
        <v>54</v>
      </c>
      <c r="AL71">
        <v>0</v>
      </c>
    </row>
    <row r="72" spans="1:42" x14ac:dyDescent="0.3">
      <c r="A72">
        <v>2779816</v>
      </c>
      <c r="B72">
        <v>165780</v>
      </c>
      <c r="C72" t="str">
        <f>"690412350167"</f>
        <v>690412350167</v>
      </c>
      <c r="D72" t="s">
        <v>316</v>
      </c>
      <c r="E72" t="s">
        <v>317</v>
      </c>
      <c r="F72" t="s">
        <v>318</v>
      </c>
      <c r="G72" s="1">
        <v>25305</v>
      </c>
      <c r="H72" t="s">
        <v>206</v>
      </c>
      <c r="I72" t="s">
        <v>46</v>
      </c>
      <c r="J72" t="s">
        <v>47</v>
      </c>
      <c r="L72" t="s">
        <v>64</v>
      </c>
      <c r="M72" t="s">
        <v>319</v>
      </c>
      <c r="N72">
        <v>1</v>
      </c>
      <c r="O72" t="s">
        <v>50</v>
      </c>
      <c r="P72" t="s">
        <v>51</v>
      </c>
      <c r="Q72" t="s">
        <v>178</v>
      </c>
      <c r="U72" t="s">
        <v>179</v>
      </c>
      <c r="W72" t="str">
        <f>"33"</f>
        <v>33</v>
      </c>
      <c r="X72" t="str">
        <f>"34"</f>
        <v>34</v>
      </c>
      <c r="Z72" t="str">
        <f>"0"</f>
        <v>0</v>
      </c>
      <c r="AA72" t="str">
        <f>"1"</f>
        <v>1</v>
      </c>
      <c r="AK72" t="s">
        <v>54</v>
      </c>
      <c r="AL72">
        <v>0</v>
      </c>
    </row>
    <row r="73" spans="1:42" x14ac:dyDescent="0.3">
      <c r="A73">
        <v>2779817</v>
      </c>
      <c r="B73">
        <v>1771881</v>
      </c>
      <c r="C73" t="str">
        <f>"721024450660"</f>
        <v>721024450660</v>
      </c>
      <c r="D73" t="s">
        <v>98</v>
      </c>
      <c r="E73" t="s">
        <v>320</v>
      </c>
      <c r="F73" t="s">
        <v>321</v>
      </c>
      <c r="G73" s="1">
        <v>26596</v>
      </c>
      <c r="H73" t="s">
        <v>45</v>
      </c>
      <c r="I73" t="s">
        <v>46</v>
      </c>
      <c r="J73" t="s">
        <v>47</v>
      </c>
      <c r="L73" t="s">
        <v>64</v>
      </c>
      <c r="M73" t="s">
        <v>177</v>
      </c>
      <c r="N73">
        <v>1.5</v>
      </c>
      <c r="O73" t="s">
        <v>50</v>
      </c>
      <c r="P73" t="s">
        <v>51</v>
      </c>
      <c r="Q73" t="s">
        <v>178</v>
      </c>
      <c r="U73" t="s">
        <v>179</v>
      </c>
      <c r="W73" t="str">
        <f>"35"</f>
        <v>35</v>
      </c>
      <c r="X73" t="str">
        <f>"35"</f>
        <v>35</v>
      </c>
      <c r="Z73" t="str">
        <f>"0"</f>
        <v>0</v>
      </c>
      <c r="AA73" t="str">
        <f t="shared" ref="AA73:AA102" si="2">"0"</f>
        <v>0</v>
      </c>
      <c r="AK73" t="s">
        <v>54</v>
      </c>
      <c r="AL73">
        <v>0</v>
      </c>
    </row>
    <row r="74" spans="1:42" x14ac:dyDescent="0.3">
      <c r="A74">
        <v>2779819</v>
      </c>
      <c r="B74">
        <v>154323</v>
      </c>
      <c r="C74" t="str">
        <f>"710210401202"</f>
        <v>710210401202</v>
      </c>
      <c r="D74" t="s">
        <v>322</v>
      </c>
      <c r="E74" t="s">
        <v>323</v>
      </c>
      <c r="F74" t="s">
        <v>324</v>
      </c>
      <c r="G74" s="1">
        <v>25974</v>
      </c>
      <c r="H74" t="s">
        <v>45</v>
      </c>
      <c r="I74" t="s">
        <v>46</v>
      </c>
      <c r="J74" t="s">
        <v>47</v>
      </c>
      <c r="L74" t="s">
        <v>64</v>
      </c>
      <c r="M74" t="s">
        <v>49</v>
      </c>
      <c r="N74">
        <v>1.5</v>
      </c>
      <c r="O74" t="s">
        <v>50</v>
      </c>
      <c r="P74" t="s">
        <v>51</v>
      </c>
      <c r="Q74" t="s">
        <v>52</v>
      </c>
      <c r="R74" t="s">
        <v>63</v>
      </c>
      <c r="U74" t="s">
        <v>53</v>
      </c>
      <c r="V74" t="s">
        <v>54</v>
      </c>
      <c r="W74" t="str">
        <f>"31"</f>
        <v>31</v>
      </c>
      <c r="X74" t="str">
        <f>"31"</f>
        <v>31</v>
      </c>
      <c r="Y74" t="str">
        <f>"31"</f>
        <v>31</v>
      </c>
      <c r="Z74" t="str">
        <f>"31"</f>
        <v>31</v>
      </c>
      <c r="AA74" t="str">
        <f t="shared" si="2"/>
        <v>0</v>
      </c>
      <c r="AB74" t="s">
        <v>65</v>
      </c>
      <c r="AC74" t="s">
        <v>158</v>
      </c>
      <c r="AD74" t="s">
        <v>93</v>
      </c>
      <c r="AE74" t="s">
        <v>84</v>
      </c>
      <c r="AG74" t="s">
        <v>67</v>
      </c>
      <c r="AH74" t="s">
        <v>58</v>
      </c>
      <c r="AI74">
        <v>1.5</v>
      </c>
      <c r="AJ74" t="str">
        <f>"[24]"</f>
        <v>[24]</v>
      </c>
      <c r="AK74" t="s">
        <v>325</v>
      </c>
      <c r="AL74">
        <v>0.7</v>
      </c>
      <c r="AM74" t="s">
        <v>55</v>
      </c>
      <c r="AO74" t="s">
        <v>75</v>
      </c>
      <c r="AP74">
        <v>0</v>
      </c>
    </row>
    <row r="75" spans="1:42" x14ac:dyDescent="0.3">
      <c r="A75">
        <v>2779899</v>
      </c>
      <c r="B75">
        <v>154556</v>
      </c>
      <c r="C75" t="str">
        <f>"661203450085"</f>
        <v>661203450085</v>
      </c>
      <c r="D75" t="s">
        <v>326</v>
      </c>
      <c r="E75" t="s">
        <v>110</v>
      </c>
      <c r="F75" t="s">
        <v>327</v>
      </c>
      <c r="G75" s="1">
        <v>24444</v>
      </c>
      <c r="H75" t="s">
        <v>45</v>
      </c>
      <c r="I75" t="s">
        <v>46</v>
      </c>
      <c r="J75" t="s">
        <v>47</v>
      </c>
      <c r="L75" t="s">
        <v>64</v>
      </c>
      <c r="M75" t="s">
        <v>217</v>
      </c>
      <c r="N75">
        <v>1</v>
      </c>
      <c r="O75" t="s">
        <v>50</v>
      </c>
      <c r="P75" t="s">
        <v>51</v>
      </c>
      <c r="Q75" t="s">
        <v>183</v>
      </c>
      <c r="U75" t="s">
        <v>179</v>
      </c>
      <c r="W75" t="str">
        <f>"38"</f>
        <v>38</v>
      </c>
      <c r="X75" t="str">
        <f>"38"</f>
        <v>38</v>
      </c>
      <c r="Z75" t="str">
        <f>"0"</f>
        <v>0</v>
      </c>
      <c r="AA75" t="str">
        <f t="shared" si="2"/>
        <v>0</v>
      </c>
      <c r="AK75" t="s">
        <v>54</v>
      </c>
      <c r="AL75">
        <v>0</v>
      </c>
    </row>
    <row r="76" spans="1:42" x14ac:dyDescent="0.3">
      <c r="A76">
        <v>2878766</v>
      </c>
      <c r="B76">
        <v>1692808</v>
      </c>
      <c r="C76" t="str">
        <f>"821025450954"</f>
        <v>821025450954</v>
      </c>
      <c r="D76" t="s">
        <v>328</v>
      </c>
      <c r="E76" t="s">
        <v>69</v>
      </c>
      <c r="F76" t="s">
        <v>329</v>
      </c>
      <c r="G76" s="1">
        <v>30249</v>
      </c>
      <c r="H76" t="s">
        <v>45</v>
      </c>
      <c r="I76" t="s">
        <v>46</v>
      </c>
      <c r="J76" t="s">
        <v>284</v>
      </c>
      <c r="L76" t="s">
        <v>64</v>
      </c>
      <c r="M76" t="s">
        <v>330</v>
      </c>
      <c r="N76">
        <v>1</v>
      </c>
      <c r="O76" t="s">
        <v>286</v>
      </c>
      <c r="P76" t="s">
        <v>51</v>
      </c>
      <c r="Q76" t="s">
        <v>287</v>
      </c>
      <c r="U76" t="s">
        <v>179</v>
      </c>
      <c r="W76" t="str">
        <f>"18"</f>
        <v>18</v>
      </c>
      <c r="X76" t="str">
        <f>"18"</f>
        <v>18</v>
      </c>
      <c r="Z76" t="str">
        <f>"0"</f>
        <v>0</v>
      </c>
      <c r="AA76" t="str">
        <f t="shared" si="2"/>
        <v>0</v>
      </c>
      <c r="AK76" t="s">
        <v>331</v>
      </c>
      <c r="AL76">
        <v>0.5</v>
      </c>
    </row>
    <row r="77" spans="1:42" x14ac:dyDescent="0.3">
      <c r="A77">
        <v>2878772</v>
      </c>
      <c r="B77">
        <v>141525</v>
      </c>
      <c r="C77" t="str">
        <f>"731028401547"</f>
        <v>731028401547</v>
      </c>
      <c r="D77" t="s">
        <v>332</v>
      </c>
      <c r="E77" t="s">
        <v>333</v>
      </c>
      <c r="F77" t="s">
        <v>334</v>
      </c>
      <c r="G77" s="1">
        <v>26965</v>
      </c>
      <c r="H77" t="s">
        <v>45</v>
      </c>
      <c r="I77" t="s">
        <v>46</v>
      </c>
      <c r="J77" t="s">
        <v>284</v>
      </c>
      <c r="L77" t="s">
        <v>64</v>
      </c>
      <c r="M77" t="s">
        <v>90</v>
      </c>
      <c r="N77">
        <v>1.2</v>
      </c>
      <c r="O77" t="s">
        <v>286</v>
      </c>
      <c r="P77" t="s">
        <v>102</v>
      </c>
      <c r="Q77" t="s">
        <v>103</v>
      </c>
      <c r="U77" t="s">
        <v>53</v>
      </c>
      <c r="V77" t="s">
        <v>54</v>
      </c>
      <c r="W77" t="str">
        <f>"31"</f>
        <v>31</v>
      </c>
      <c r="X77" t="str">
        <f>"31"</f>
        <v>31</v>
      </c>
      <c r="Y77" t="str">
        <f>"31"</f>
        <v>31</v>
      </c>
      <c r="Z77" t="str">
        <f>"31"</f>
        <v>31</v>
      </c>
      <c r="AA77" t="str">
        <f t="shared" si="2"/>
        <v>0</v>
      </c>
      <c r="AB77" t="s">
        <v>104</v>
      </c>
      <c r="AC77" t="s">
        <v>158</v>
      </c>
      <c r="AE77" t="s">
        <v>84</v>
      </c>
      <c r="AG77" t="s">
        <v>95</v>
      </c>
      <c r="AH77" t="s">
        <v>58</v>
      </c>
      <c r="AI77">
        <v>1.2</v>
      </c>
      <c r="AJ77" t="str">
        <f>"[19]"</f>
        <v>[19]</v>
      </c>
      <c r="AK77" t="s">
        <v>54</v>
      </c>
      <c r="AL77">
        <v>0</v>
      </c>
    </row>
    <row r="78" spans="1:42" x14ac:dyDescent="0.3">
      <c r="A78">
        <v>2878774</v>
      </c>
      <c r="B78">
        <v>157750</v>
      </c>
      <c r="C78" t="str">
        <f>"520710300018"</f>
        <v>520710300018</v>
      </c>
      <c r="D78" t="s">
        <v>335</v>
      </c>
      <c r="E78" t="s">
        <v>336</v>
      </c>
      <c r="F78" t="s">
        <v>337</v>
      </c>
      <c r="G78" s="1">
        <v>19185</v>
      </c>
      <c r="H78" t="s">
        <v>206</v>
      </c>
      <c r="I78" t="s">
        <v>46</v>
      </c>
      <c r="J78" t="s">
        <v>284</v>
      </c>
      <c r="L78" t="s">
        <v>64</v>
      </c>
      <c r="M78" t="s">
        <v>49</v>
      </c>
      <c r="N78">
        <v>0.1</v>
      </c>
      <c r="O78" t="s">
        <v>286</v>
      </c>
      <c r="P78" t="s">
        <v>51</v>
      </c>
      <c r="Q78" t="s">
        <v>52</v>
      </c>
      <c r="U78" t="s">
        <v>53</v>
      </c>
      <c r="V78" t="s">
        <v>54</v>
      </c>
      <c r="W78" t="str">
        <f>"25"</f>
        <v>25</v>
      </c>
      <c r="X78" t="str">
        <f>"25"</f>
        <v>25</v>
      </c>
      <c r="Y78" t="str">
        <f>"25"</f>
        <v>25</v>
      </c>
      <c r="Z78" t="str">
        <f>"25"</f>
        <v>25</v>
      </c>
      <c r="AA78" t="str">
        <f t="shared" si="2"/>
        <v>0</v>
      </c>
      <c r="AB78" t="s">
        <v>55</v>
      </c>
      <c r="AE78" t="s">
        <v>56</v>
      </c>
      <c r="AG78" t="s">
        <v>209</v>
      </c>
      <c r="AH78" t="s">
        <v>58</v>
      </c>
      <c r="AI78">
        <v>0.1</v>
      </c>
      <c r="AJ78" t="str">
        <f>"[2]"</f>
        <v>[2]</v>
      </c>
      <c r="AK78" t="s">
        <v>54</v>
      </c>
      <c r="AL78">
        <v>0</v>
      </c>
    </row>
    <row r="79" spans="1:42" x14ac:dyDescent="0.3">
      <c r="A79">
        <v>2878775</v>
      </c>
      <c r="B79">
        <v>1316009</v>
      </c>
      <c r="C79" t="str">
        <f>"971106450855"</f>
        <v>971106450855</v>
      </c>
      <c r="D79" t="s">
        <v>338</v>
      </c>
      <c r="E79" t="s">
        <v>43</v>
      </c>
      <c r="F79" t="s">
        <v>339</v>
      </c>
      <c r="G79" s="1">
        <v>35740</v>
      </c>
      <c r="H79" t="s">
        <v>45</v>
      </c>
      <c r="I79" t="s">
        <v>46</v>
      </c>
      <c r="J79" t="s">
        <v>284</v>
      </c>
      <c r="L79" t="s">
        <v>64</v>
      </c>
      <c r="M79" t="s">
        <v>49</v>
      </c>
      <c r="N79">
        <v>0.4</v>
      </c>
      <c r="O79" t="s">
        <v>286</v>
      </c>
      <c r="P79" t="s">
        <v>51</v>
      </c>
      <c r="Q79" t="s">
        <v>52</v>
      </c>
      <c r="U79" t="s">
        <v>53</v>
      </c>
      <c r="V79" t="s">
        <v>54</v>
      </c>
      <c r="W79" t="str">
        <f>"4"</f>
        <v>4</v>
      </c>
      <c r="X79" t="str">
        <f>"4"</f>
        <v>4</v>
      </c>
      <c r="Y79" t="str">
        <f>"4"</f>
        <v>4</v>
      </c>
      <c r="Z79" t="str">
        <f>"4"</f>
        <v>4</v>
      </c>
      <c r="AA79" t="str">
        <f t="shared" si="2"/>
        <v>0</v>
      </c>
      <c r="AB79" t="s">
        <v>55</v>
      </c>
      <c r="AE79" t="s">
        <v>84</v>
      </c>
      <c r="AG79" t="s">
        <v>222</v>
      </c>
      <c r="AH79" t="s">
        <v>58</v>
      </c>
      <c r="AI79">
        <v>0.4</v>
      </c>
      <c r="AJ79" t="str">
        <f>"[6]"</f>
        <v>[6]</v>
      </c>
      <c r="AK79" t="s">
        <v>54</v>
      </c>
      <c r="AL79">
        <v>0</v>
      </c>
    </row>
    <row r="80" spans="1:42" x14ac:dyDescent="0.3">
      <c r="A80">
        <v>2878777</v>
      </c>
      <c r="B80">
        <v>155001</v>
      </c>
      <c r="C80" t="str">
        <f>"701213401100"</f>
        <v>701213401100</v>
      </c>
      <c r="D80" t="s">
        <v>340</v>
      </c>
      <c r="E80" t="s">
        <v>341</v>
      </c>
      <c r="F80" t="s">
        <v>342</v>
      </c>
      <c r="G80" s="1">
        <v>25915</v>
      </c>
      <c r="H80" t="s">
        <v>45</v>
      </c>
      <c r="I80" t="s">
        <v>46</v>
      </c>
      <c r="J80" t="s">
        <v>284</v>
      </c>
      <c r="L80" t="s">
        <v>64</v>
      </c>
      <c r="M80" t="s">
        <v>49</v>
      </c>
      <c r="N80">
        <v>0.9</v>
      </c>
      <c r="O80" t="s">
        <v>286</v>
      </c>
      <c r="P80" t="s">
        <v>51</v>
      </c>
      <c r="Q80" t="s">
        <v>52</v>
      </c>
      <c r="U80" t="s">
        <v>53</v>
      </c>
      <c r="V80" t="s">
        <v>54</v>
      </c>
      <c r="W80" t="str">
        <f>"30"</f>
        <v>30</v>
      </c>
      <c r="X80" t="str">
        <f>"30"</f>
        <v>30</v>
      </c>
      <c r="Y80" t="str">
        <f>"30"</f>
        <v>30</v>
      </c>
      <c r="Z80" t="str">
        <f>"30"</f>
        <v>30</v>
      </c>
      <c r="AA80" t="str">
        <f t="shared" si="2"/>
        <v>0</v>
      </c>
      <c r="AB80" t="s">
        <v>104</v>
      </c>
      <c r="AC80" t="s">
        <v>105</v>
      </c>
      <c r="AE80" t="s">
        <v>94</v>
      </c>
      <c r="AG80" t="s">
        <v>128</v>
      </c>
      <c r="AH80" t="s">
        <v>58</v>
      </c>
      <c r="AI80">
        <v>0.9</v>
      </c>
      <c r="AJ80" t="str">
        <f>"[15]"</f>
        <v>[15]</v>
      </c>
      <c r="AK80" t="s">
        <v>54</v>
      </c>
      <c r="AL80">
        <v>0</v>
      </c>
    </row>
    <row r="81" spans="1:42" x14ac:dyDescent="0.3">
      <c r="A81">
        <v>2878780</v>
      </c>
      <c r="B81">
        <v>142575</v>
      </c>
      <c r="C81" t="str">
        <f>"940123450542"</f>
        <v>940123450542</v>
      </c>
      <c r="D81" t="s">
        <v>288</v>
      </c>
      <c r="E81" t="s">
        <v>343</v>
      </c>
      <c r="F81" t="s">
        <v>344</v>
      </c>
      <c r="G81" s="1">
        <v>34357</v>
      </c>
      <c r="H81" t="s">
        <v>45</v>
      </c>
      <c r="I81" t="s">
        <v>46</v>
      </c>
      <c r="J81" t="s">
        <v>284</v>
      </c>
      <c r="L81" t="s">
        <v>64</v>
      </c>
      <c r="M81" t="s">
        <v>49</v>
      </c>
      <c r="N81">
        <v>0.6</v>
      </c>
      <c r="O81" t="s">
        <v>286</v>
      </c>
      <c r="P81" t="s">
        <v>51</v>
      </c>
      <c r="Q81" t="s">
        <v>91</v>
      </c>
      <c r="U81" t="s">
        <v>53</v>
      </c>
      <c r="V81" t="s">
        <v>54</v>
      </c>
      <c r="W81" t="str">
        <f>"10"</f>
        <v>10</v>
      </c>
      <c r="X81" t="str">
        <f>"10"</f>
        <v>10</v>
      </c>
      <c r="Y81" t="str">
        <f>"10"</f>
        <v>10</v>
      </c>
      <c r="Z81" t="str">
        <f>"10"</f>
        <v>10</v>
      </c>
      <c r="AA81" t="str">
        <f t="shared" si="2"/>
        <v>0</v>
      </c>
      <c r="AB81" t="s">
        <v>73</v>
      </c>
      <c r="AC81" t="s">
        <v>105</v>
      </c>
      <c r="AE81" t="s">
        <v>94</v>
      </c>
      <c r="AG81" t="s">
        <v>213</v>
      </c>
      <c r="AH81" t="s">
        <v>96</v>
      </c>
      <c r="AI81">
        <v>0.6</v>
      </c>
      <c r="AJ81" t="str">
        <f>"[10]"</f>
        <v>[10]</v>
      </c>
      <c r="AK81" t="s">
        <v>54</v>
      </c>
      <c r="AL81">
        <v>0</v>
      </c>
    </row>
    <row r="82" spans="1:42" x14ac:dyDescent="0.3">
      <c r="A82">
        <v>2878781</v>
      </c>
      <c r="B82">
        <v>153285</v>
      </c>
      <c r="C82" t="str">
        <f>"841126451192"</f>
        <v>841126451192</v>
      </c>
      <c r="D82" t="s">
        <v>345</v>
      </c>
      <c r="E82" t="s">
        <v>346</v>
      </c>
      <c r="F82" t="s">
        <v>347</v>
      </c>
      <c r="G82" s="1">
        <v>31012</v>
      </c>
      <c r="H82" t="s">
        <v>45</v>
      </c>
      <c r="I82" t="s">
        <v>46</v>
      </c>
      <c r="J82" t="s">
        <v>284</v>
      </c>
      <c r="L82" t="s">
        <v>64</v>
      </c>
      <c r="M82" t="s">
        <v>235</v>
      </c>
      <c r="N82">
        <v>0.5</v>
      </c>
      <c r="O82" t="s">
        <v>286</v>
      </c>
      <c r="P82" t="s">
        <v>102</v>
      </c>
      <c r="Q82" t="s">
        <v>103</v>
      </c>
      <c r="U82" t="s">
        <v>53</v>
      </c>
      <c r="V82" t="s">
        <v>72</v>
      </c>
      <c r="W82" t="str">
        <f>"9"</f>
        <v>9</v>
      </c>
      <c r="X82" t="str">
        <f>"9"</f>
        <v>9</v>
      </c>
      <c r="Y82" t="str">
        <f>"9"</f>
        <v>9</v>
      </c>
      <c r="Z82" t="str">
        <f>"9"</f>
        <v>9</v>
      </c>
      <c r="AA82" t="str">
        <f t="shared" si="2"/>
        <v>0</v>
      </c>
      <c r="AB82" t="s">
        <v>65</v>
      </c>
      <c r="AC82" t="s">
        <v>348</v>
      </c>
      <c r="AE82" t="s">
        <v>56</v>
      </c>
      <c r="AK82" t="s">
        <v>54</v>
      </c>
      <c r="AL82">
        <v>0</v>
      </c>
    </row>
    <row r="83" spans="1:42" x14ac:dyDescent="0.3">
      <c r="A83">
        <v>2878794</v>
      </c>
      <c r="B83">
        <v>1781465</v>
      </c>
      <c r="C83" t="str">
        <f>"000211601113"</f>
        <v>000211601113</v>
      </c>
      <c r="D83" t="s">
        <v>349</v>
      </c>
      <c r="E83" t="s">
        <v>350</v>
      </c>
      <c r="F83" t="s">
        <v>351</v>
      </c>
      <c r="G83" s="1">
        <v>36567</v>
      </c>
      <c r="H83" t="s">
        <v>45</v>
      </c>
      <c r="I83" t="s">
        <v>46</v>
      </c>
      <c r="J83" t="s">
        <v>47</v>
      </c>
      <c r="L83" t="s">
        <v>64</v>
      </c>
      <c r="M83" t="s">
        <v>49</v>
      </c>
      <c r="N83">
        <v>1</v>
      </c>
      <c r="O83" t="s">
        <v>50</v>
      </c>
      <c r="P83" t="s">
        <v>102</v>
      </c>
      <c r="Q83" t="s">
        <v>103</v>
      </c>
      <c r="U83" t="s">
        <v>53</v>
      </c>
      <c r="V83" t="s">
        <v>54</v>
      </c>
      <c r="W83" t="str">
        <f>"0"</f>
        <v>0</v>
      </c>
      <c r="X83" t="str">
        <f>"0"</f>
        <v>0</v>
      </c>
      <c r="Y83" t="str">
        <f>"0"</f>
        <v>0</v>
      </c>
      <c r="Z83" t="str">
        <f>"0"</f>
        <v>0</v>
      </c>
      <c r="AA83" t="str">
        <f t="shared" si="2"/>
        <v>0</v>
      </c>
      <c r="AB83" t="s">
        <v>55</v>
      </c>
      <c r="AE83" t="s">
        <v>84</v>
      </c>
      <c r="AG83" t="s">
        <v>57</v>
      </c>
      <c r="AH83" t="s">
        <v>58</v>
      </c>
      <c r="AI83">
        <v>1</v>
      </c>
      <c r="AJ83" t="str">
        <f>"[16]"</f>
        <v>[16]</v>
      </c>
      <c r="AK83" t="s">
        <v>54</v>
      </c>
      <c r="AL83">
        <v>0</v>
      </c>
    </row>
    <row r="84" spans="1:42" x14ac:dyDescent="0.3">
      <c r="A84">
        <v>2878798</v>
      </c>
      <c r="B84">
        <v>558956</v>
      </c>
      <c r="C84" t="str">
        <f>"940815402287"</f>
        <v>940815402287</v>
      </c>
      <c r="D84" t="s">
        <v>352</v>
      </c>
      <c r="E84" t="s">
        <v>269</v>
      </c>
      <c r="F84" t="s">
        <v>353</v>
      </c>
      <c r="G84" s="1">
        <v>34561</v>
      </c>
      <c r="H84" t="s">
        <v>45</v>
      </c>
      <c r="I84" t="s">
        <v>46</v>
      </c>
      <c r="J84" t="s">
        <v>47</v>
      </c>
      <c r="L84" t="s">
        <v>64</v>
      </c>
      <c r="M84" t="s">
        <v>171</v>
      </c>
      <c r="N84">
        <v>1</v>
      </c>
      <c r="O84" t="s">
        <v>50</v>
      </c>
      <c r="P84" t="s">
        <v>51</v>
      </c>
      <c r="Q84" t="s">
        <v>52</v>
      </c>
      <c r="U84" t="s">
        <v>53</v>
      </c>
      <c r="V84" t="s">
        <v>54</v>
      </c>
      <c r="W84" t="str">
        <f>"3"</f>
        <v>3</v>
      </c>
      <c r="X84" t="str">
        <f>"3"</f>
        <v>3</v>
      </c>
      <c r="Y84" t="str">
        <f>"3"</f>
        <v>3</v>
      </c>
      <c r="Z84" t="str">
        <f>"3"</f>
        <v>3</v>
      </c>
      <c r="AA84" t="str">
        <f t="shared" si="2"/>
        <v>0</v>
      </c>
      <c r="AB84" t="s">
        <v>55</v>
      </c>
      <c r="AE84" t="s">
        <v>84</v>
      </c>
      <c r="AK84" t="s">
        <v>79</v>
      </c>
      <c r="AL84">
        <v>0.5</v>
      </c>
      <c r="AM84" t="s">
        <v>55</v>
      </c>
    </row>
    <row r="85" spans="1:42" x14ac:dyDescent="0.3">
      <c r="A85">
        <v>2878799</v>
      </c>
      <c r="B85">
        <v>144481</v>
      </c>
      <c r="C85" t="str">
        <f>"900424451381"</f>
        <v>900424451381</v>
      </c>
      <c r="D85" t="s">
        <v>354</v>
      </c>
      <c r="E85" t="s">
        <v>355</v>
      </c>
      <c r="F85" t="s">
        <v>356</v>
      </c>
      <c r="G85" s="1">
        <v>32987</v>
      </c>
      <c r="H85" t="s">
        <v>45</v>
      </c>
      <c r="I85" t="s">
        <v>46</v>
      </c>
      <c r="J85" t="s">
        <v>47</v>
      </c>
      <c r="L85" t="s">
        <v>64</v>
      </c>
      <c r="M85" t="s">
        <v>49</v>
      </c>
      <c r="N85">
        <v>1.4</v>
      </c>
      <c r="O85" t="s">
        <v>50</v>
      </c>
      <c r="P85" t="s">
        <v>51</v>
      </c>
      <c r="Q85" t="s">
        <v>52</v>
      </c>
      <c r="U85" t="s">
        <v>53</v>
      </c>
      <c r="V85" t="s">
        <v>54</v>
      </c>
      <c r="W85" t="str">
        <f>"8"</f>
        <v>8</v>
      </c>
      <c r="X85" t="str">
        <f>"8"</f>
        <v>8</v>
      </c>
      <c r="Y85" t="str">
        <f>"8"</f>
        <v>8</v>
      </c>
      <c r="Z85" t="str">
        <f>"8"</f>
        <v>8</v>
      </c>
      <c r="AA85" t="str">
        <f t="shared" si="2"/>
        <v>0</v>
      </c>
      <c r="AB85" t="s">
        <v>65</v>
      </c>
      <c r="AC85" t="s">
        <v>66</v>
      </c>
      <c r="AE85" t="s">
        <v>80</v>
      </c>
      <c r="AG85" t="s">
        <v>85</v>
      </c>
      <c r="AH85" t="s">
        <v>58</v>
      </c>
      <c r="AI85">
        <v>1.4</v>
      </c>
      <c r="AJ85" t="str">
        <f>"[22]"</f>
        <v>[22]</v>
      </c>
      <c r="AK85" t="s">
        <v>54</v>
      </c>
      <c r="AL85">
        <v>0</v>
      </c>
    </row>
    <row r="86" spans="1:42" x14ac:dyDescent="0.3">
      <c r="A86">
        <v>2878800</v>
      </c>
      <c r="B86">
        <v>1803773</v>
      </c>
      <c r="C86" t="str">
        <f>"030601650791"</f>
        <v>030601650791</v>
      </c>
      <c r="D86" t="s">
        <v>357</v>
      </c>
      <c r="E86" t="s">
        <v>358</v>
      </c>
      <c r="F86" t="s">
        <v>170</v>
      </c>
      <c r="G86" s="1">
        <v>37773</v>
      </c>
      <c r="H86" t="s">
        <v>45</v>
      </c>
      <c r="I86" t="s">
        <v>115</v>
      </c>
      <c r="J86" t="s">
        <v>47</v>
      </c>
      <c r="L86" t="s">
        <v>64</v>
      </c>
      <c r="M86" t="s">
        <v>90</v>
      </c>
      <c r="N86">
        <v>1.4</v>
      </c>
      <c r="O86" t="s">
        <v>50</v>
      </c>
      <c r="P86" t="s">
        <v>51</v>
      </c>
      <c r="Q86" t="s">
        <v>91</v>
      </c>
      <c r="U86" t="s">
        <v>53</v>
      </c>
      <c r="V86" t="s">
        <v>54</v>
      </c>
      <c r="W86" t="str">
        <f t="shared" ref="W86:Z87" si="3">"0"</f>
        <v>0</v>
      </c>
      <c r="X86" t="str">
        <f t="shared" si="3"/>
        <v>0</v>
      </c>
      <c r="Y86" t="str">
        <f t="shared" si="3"/>
        <v>0</v>
      </c>
      <c r="Z86" t="str">
        <f t="shared" si="3"/>
        <v>0</v>
      </c>
      <c r="AA86" t="str">
        <f t="shared" si="2"/>
        <v>0</v>
      </c>
      <c r="AB86" t="s">
        <v>55</v>
      </c>
      <c r="AE86" t="s">
        <v>94</v>
      </c>
      <c r="AG86" t="s">
        <v>95</v>
      </c>
      <c r="AH86" t="s">
        <v>96</v>
      </c>
      <c r="AI86">
        <v>1.4</v>
      </c>
      <c r="AJ86" t="str">
        <f>"[21]"</f>
        <v>[21]</v>
      </c>
      <c r="AK86" t="s">
        <v>54</v>
      </c>
      <c r="AL86">
        <v>0</v>
      </c>
    </row>
    <row r="87" spans="1:42" x14ac:dyDescent="0.3">
      <c r="A87">
        <v>2878801</v>
      </c>
      <c r="B87">
        <v>1803774</v>
      </c>
      <c r="C87" t="str">
        <f>"010807650936"</f>
        <v>010807650936</v>
      </c>
      <c r="D87" t="s">
        <v>359</v>
      </c>
      <c r="E87" t="s">
        <v>360</v>
      </c>
      <c r="F87" t="s">
        <v>161</v>
      </c>
      <c r="G87" s="1">
        <v>37110</v>
      </c>
      <c r="H87" t="s">
        <v>45</v>
      </c>
      <c r="I87" t="s">
        <v>89</v>
      </c>
      <c r="J87" t="s">
        <v>47</v>
      </c>
      <c r="L87" t="s">
        <v>64</v>
      </c>
      <c r="M87" t="s">
        <v>49</v>
      </c>
      <c r="N87">
        <v>1.1000000000000001</v>
      </c>
      <c r="O87" t="s">
        <v>50</v>
      </c>
      <c r="P87" t="s">
        <v>51</v>
      </c>
      <c r="Q87" t="s">
        <v>52</v>
      </c>
      <c r="U87" t="s">
        <v>53</v>
      </c>
      <c r="V87" t="s">
        <v>54</v>
      </c>
      <c r="W87" t="str">
        <f t="shared" si="3"/>
        <v>0</v>
      </c>
      <c r="X87" t="str">
        <f t="shared" si="3"/>
        <v>0</v>
      </c>
      <c r="Y87" t="str">
        <f t="shared" si="3"/>
        <v>0</v>
      </c>
      <c r="Z87" t="str">
        <f t="shared" si="3"/>
        <v>0</v>
      </c>
      <c r="AA87" t="str">
        <f t="shared" si="2"/>
        <v>0</v>
      </c>
      <c r="AB87" t="s">
        <v>55</v>
      </c>
      <c r="AE87" t="s">
        <v>94</v>
      </c>
      <c r="AG87" t="s">
        <v>222</v>
      </c>
      <c r="AH87" t="s">
        <v>58</v>
      </c>
      <c r="AI87">
        <v>1.1000000000000001</v>
      </c>
      <c r="AJ87" t="str">
        <f>"[18]"</f>
        <v>[18]</v>
      </c>
      <c r="AK87" t="s">
        <v>361</v>
      </c>
      <c r="AL87">
        <v>1</v>
      </c>
      <c r="AM87" t="s">
        <v>55</v>
      </c>
    </row>
    <row r="88" spans="1:42" x14ac:dyDescent="0.3">
      <c r="A88">
        <v>2879008</v>
      </c>
      <c r="B88">
        <v>1311749</v>
      </c>
      <c r="C88" t="str">
        <f>"701223400870"</f>
        <v>701223400870</v>
      </c>
      <c r="D88" t="s">
        <v>362</v>
      </c>
      <c r="E88" t="s">
        <v>363</v>
      </c>
      <c r="F88" t="s">
        <v>364</v>
      </c>
      <c r="G88" s="1">
        <v>25925</v>
      </c>
      <c r="H88" t="s">
        <v>45</v>
      </c>
      <c r="I88" t="s">
        <v>46</v>
      </c>
      <c r="J88" t="s">
        <v>47</v>
      </c>
      <c r="L88" t="s">
        <v>64</v>
      </c>
      <c r="M88" t="s">
        <v>177</v>
      </c>
      <c r="N88">
        <v>1.5</v>
      </c>
      <c r="O88" t="s">
        <v>50</v>
      </c>
      <c r="P88" t="s">
        <v>51</v>
      </c>
      <c r="Q88" t="s">
        <v>178</v>
      </c>
      <c r="U88" t="s">
        <v>179</v>
      </c>
      <c r="W88" t="str">
        <f>"20"</f>
        <v>20</v>
      </c>
      <c r="X88" t="str">
        <f>"20"</f>
        <v>20</v>
      </c>
      <c r="Z88" t="str">
        <f>"0"</f>
        <v>0</v>
      </c>
      <c r="AA88" t="str">
        <f t="shared" si="2"/>
        <v>0</v>
      </c>
      <c r="AK88" t="s">
        <v>54</v>
      </c>
      <c r="AL88">
        <v>0</v>
      </c>
    </row>
    <row r="89" spans="1:42" x14ac:dyDescent="0.3">
      <c r="A89">
        <v>2879171</v>
      </c>
      <c r="B89">
        <v>1803866</v>
      </c>
      <c r="C89" t="str">
        <f>"001005650858"</f>
        <v>001005650858</v>
      </c>
      <c r="D89" t="s">
        <v>365</v>
      </c>
      <c r="E89" t="s">
        <v>366</v>
      </c>
      <c r="F89" t="s">
        <v>367</v>
      </c>
      <c r="G89" s="1">
        <v>36804</v>
      </c>
      <c r="H89" t="s">
        <v>45</v>
      </c>
      <c r="I89" t="s">
        <v>46</v>
      </c>
      <c r="J89" t="s">
        <v>47</v>
      </c>
      <c r="L89" t="s">
        <v>64</v>
      </c>
      <c r="M89" t="s">
        <v>79</v>
      </c>
      <c r="N89">
        <v>1</v>
      </c>
      <c r="O89" t="s">
        <v>50</v>
      </c>
      <c r="P89" t="s">
        <v>51</v>
      </c>
      <c r="Q89" t="s">
        <v>52</v>
      </c>
      <c r="U89" t="s">
        <v>53</v>
      </c>
      <c r="V89" t="s">
        <v>54</v>
      </c>
      <c r="W89" t="str">
        <f>"0"</f>
        <v>0</v>
      </c>
      <c r="X89" t="str">
        <f>"0"</f>
        <v>0</v>
      </c>
      <c r="Y89" t="str">
        <f>"0"</f>
        <v>0</v>
      </c>
      <c r="Z89" t="str">
        <f>"0"</f>
        <v>0</v>
      </c>
      <c r="AA89" t="str">
        <f t="shared" si="2"/>
        <v>0</v>
      </c>
      <c r="AB89" t="s">
        <v>55</v>
      </c>
      <c r="AE89" t="s">
        <v>56</v>
      </c>
      <c r="AK89" t="s">
        <v>49</v>
      </c>
      <c r="AL89">
        <v>0.2</v>
      </c>
      <c r="AM89" t="s">
        <v>55</v>
      </c>
      <c r="AO89" t="s">
        <v>162</v>
      </c>
      <c r="AP89">
        <v>0.2</v>
      </c>
    </row>
    <row r="90" spans="1:42" x14ac:dyDescent="0.3">
      <c r="A90">
        <v>2879232</v>
      </c>
      <c r="B90">
        <v>135175</v>
      </c>
      <c r="C90" t="str">
        <f>"820411450593"</f>
        <v>820411450593</v>
      </c>
      <c r="D90" t="s">
        <v>368</v>
      </c>
      <c r="E90" t="s">
        <v>272</v>
      </c>
      <c r="F90" t="s">
        <v>369</v>
      </c>
      <c r="G90" s="1">
        <v>30052</v>
      </c>
      <c r="H90" t="s">
        <v>45</v>
      </c>
      <c r="I90" t="s">
        <v>46</v>
      </c>
      <c r="J90" t="s">
        <v>47</v>
      </c>
      <c r="L90" t="s">
        <v>64</v>
      </c>
      <c r="M90" t="s">
        <v>49</v>
      </c>
      <c r="N90">
        <v>1.5</v>
      </c>
      <c r="O90" t="s">
        <v>50</v>
      </c>
      <c r="P90" t="s">
        <v>51</v>
      </c>
      <c r="Q90" t="s">
        <v>52</v>
      </c>
      <c r="U90" t="s">
        <v>53</v>
      </c>
      <c r="V90" t="s">
        <v>54</v>
      </c>
      <c r="W90" t="str">
        <f>"19"</f>
        <v>19</v>
      </c>
      <c r="X90" t="str">
        <f>"19"</f>
        <v>19</v>
      </c>
      <c r="Y90" t="str">
        <f>"19"</f>
        <v>19</v>
      </c>
      <c r="Z90" t="str">
        <f>"19"</f>
        <v>19</v>
      </c>
      <c r="AA90" t="str">
        <f t="shared" si="2"/>
        <v>0</v>
      </c>
      <c r="AB90" t="s">
        <v>65</v>
      </c>
      <c r="AC90" t="s">
        <v>74</v>
      </c>
      <c r="AE90" t="s">
        <v>56</v>
      </c>
      <c r="AG90" t="s">
        <v>213</v>
      </c>
      <c r="AH90" t="s">
        <v>58</v>
      </c>
      <c r="AI90">
        <v>1.5</v>
      </c>
      <c r="AJ90" t="str">
        <f>"[24]"</f>
        <v>[24]</v>
      </c>
      <c r="AK90" t="s">
        <v>54</v>
      </c>
      <c r="AL90">
        <v>0</v>
      </c>
    </row>
    <row r="91" spans="1:42" x14ac:dyDescent="0.3">
      <c r="A91">
        <v>2928300</v>
      </c>
      <c r="B91">
        <v>1297563</v>
      </c>
      <c r="C91" t="str">
        <f>"790703402463"</f>
        <v>790703402463</v>
      </c>
      <c r="D91" t="s">
        <v>370</v>
      </c>
      <c r="E91" t="s">
        <v>371</v>
      </c>
      <c r="F91" t="s">
        <v>195</v>
      </c>
      <c r="G91" s="1">
        <v>29039</v>
      </c>
      <c r="H91" t="s">
        <v>45</v>
      </c>
      <c r="I91" t="s">
        <v>89</v>
      </c>
      <c r="J91" t="s">
        <v>47</v>
      </c>
      <c r="L91" t="s">
        <v>64</v>
      </c>
      <c r="M91" t="s">
        <v>372</v>
      </c>
      <c r="N91">
        <v>0.5</v>
      </c>
      <c r="O91" t="s">
        <v>286</v>
      </c>
      <c r="P91" t="s">
        <v>51</v>
      </c>
      <c r="Q91" t="s">
        <v>52</v>
      </c>
      <c r="U91" t="s">
        <v>53</v>
      </c>
      <c r="V91" t="s">
        <v>72</v>
      </c>
      <c r="W91" t="str">
        <f>"5"</f>
        <v>5</v>
      </c>
      <c r="X91" t="str">
        <f>"5"</f>
        <v>5</v>
      </c>
      <c r="Y91" t="str">
        <f>"5"</f>
        <v>5</v>
      </c>
      <c r="Z91" t="str">
        <f>"5"</f>
        <v>5</v>
      </c>
      <c r="AA91" t="str">
        <f t="shared" si="2"/>
        <v>0</v>
      </c>
      <c r="AB91" t="s">
        <v>65</v>
      </c>
      <c r="AC91" t="s">
        <v>66</v>
      </c>
      <c r="AE91" t="s">
        <v>94</v>
      </c>
      <c r="AK91" t="s">
        <v>54</v>
      </c>
      <c r="AL91">
        <v>0</v>
      </c>
    </row>
    <row r="92" spans="1:42" x14ac:dyDescent="0.3">
      <c r="A92">
        <v>2928342</v>
      </c>
      <c r="B92">
        <v>165799</v>
      </c>
      <c r="C92" t="str">
        <f>"881007450421"</f>
        <v>881007450421</v>
      </c>
      <c r="D92" t="s">
        <v>373</v>
      </c>
      <c r="E92" t="s">
        <v>374</v>
      </c>
      <c r="F92" t="s">
        <v>88</v>
      </c>
      <c r="G92" s="1">
        <v>32423</v>
      </c>
      <c r="H92" t="s">
        <v>45</v>
      </c>
      <c r="I92" t="s">
        <v>89</v>
      </c>
      <c r="J92" t="s">
        <v>47</v>
      </c>
      <c r="L92" t="s">
        <v>64</v>
      </c>
      <c r="M92" t="s">
        <v>177</v>
      </c>
      <c r="N92">
        <v>1.5</v>
      </c>
      <c r="O92" t="s">
        <v>50</v>
      </c>
      <c r="P92" t="s">
        <v>51</v>
      </c>
      <c r="Q92" t="s">
        <v>183</v>
      </c>
      <c r="U92" t="s">
        <v>179</v>
      </c>
      <c r="W92" t="str">
        <f>"3"</f>
        <v>3</v>
      </c>
      <c r="X92" t="str">
        <f>"3"</f>
        <v>3</v>
      </c>
      <c r="Z92" t="str">
        <f>"0"</f>
        <v>0</v>
      </c>
      <c r="AA92" t="str">
        <f t="shared" si="2"/>
        <v>0</v>
      </c>
      <c r="AK92" t="s">
        <v>54</v>
      </c>
      <c r="AL92">
        <v>0</v>
      </c>
    </row>
    <row r="93" spans="1:42" x14ac:dyDescent="0.3">
      <c r="A93">
        <v>2928358</v>
      </c>
      <c r="B93">
        <v>1821815</v>
      </c>
      <c r="C93" t="str">
        <f>"011229650888"</f>
        <v>011229650888</v>
      </c>
      <c r="D93" t="s">
        <v>253</v>
      </c>
      <c r="E93" t="s">
        <v>375</v>
      </c>
      <c r="F93" t="s">
        <v>376</v>
      </c>
      <c r="G93" s="1">
        <v>37254</v>
      </c>
      <c r="H93" t="s">
        <v>45</v>
      </c>
      <c r="I93" t="s">
        <v>46</v>
      </c>
      <c r="J93" t="s">
        <v>47</v>
      </c>
      <c r="L93" t="s">
        <v>64</v>
      </c>
      <c r="M93" t="s">
        <v>292</v>
      </c>
      <c r="N93">
        <v>0.5</v>
      </c>
      <c r="O93" t="s">
        <v>50</v>
      </c>
      <c r="P93" t="s">
        <v>51</v>
      </c>
      <c r="Q93" t="s">
        <v>178</v>
      </c>
      <c r="U93" t="s">
        <v>179</v>
      </c>
      <c r="W93" t="str">
        <f>"2"</f>
        <v>2</v>
      </c>
      <c r="X93" t="str">
        <f>"2"</f>
        <v>2</v>
      </c>
      <c r="Z93" t="str">
        <f>"0"</f>
        <v>0</v>
      </c>
      <c r="AA93" t="str">
        <f t="shared" si="2"/>
        <v>0</v>
      </c>
      <c r="AK93" t="s">
        <v>377</v>
      </c>
      <c r="AL93">
        <v>0.5</v>
      </c>
    </row>
    <row r="94" spans="1:42" x14ac:dyDescent="0.3">
      <c r="A94">
        <v>2974703</v>
      </c>
      <c r="B94">
        <v>1838336</v>
      </c>
      <c r="C94" t="str">
        <f>"650101400357"</f>
        <v>650101400357</v>
      </c>
      <c r="D94" t="s">
        <v>378</v>
      </c>
      <c r="E94" t="s">
        <v>379</v>
      </c>
      <c r="F94" t="s">
        <v>380</v>
      </c>
      <c r="G94" s="1">
        <v>23743</v>
      </c>
      <c r="H94" t="s">
        <v>45</v>
      </c>
      <c r="I94" t="s">
        <v>46</v>
      </c>
      <c r="J94" t="s">
        <v>47</v>
      </c>
      <c r="L94" t="s">
        <v>64</v>
      </c>
      <c r="M94" t="s">
        <v>381</v>
      </c>
      <c r="N94">
        <v>1</v>
      </c>
      <c r="O94" t="s">
        <v>50</v>
      </c>
      <c r="P94" t="s">
        <v>51</v>
      </c>
      <c r="Q94" t="s">
        <v>287</v>
      </c>
      <c r="U94" t="s">
        <v>179</v>
      </c>
      <c r="W94" t="str">
        <f>"0"</f>
        <v>0</v>
      </c>
      <c r="X94" t="str">
        <f>"0"</f>
        <v>0</v>
      </c>
      <c r="Z94" t="str">
        <f>"0"</f>
        <v>0</v>
      </c>
      <c r="AA94" t="str">
        <f t="shared" si="2"/>
        <v>0</v>
      </c>
      <c r="AK94" t="s">
        <v>54</v>
      </c>
      <c r="AL94">
        <v>0</v>
      </c>
    </row>
    <row r="95" spans="1:42" x14ac:dyDescent="0.3">
      <c r="A95">
        <v>2974714</v>
      </c>
      <c r="B95">
        <v>1838339</v>
      </c>
      <c r="C95" t="str">
        <f>"790514401993"</f>
        <v>790514401993</v>
      </c>
      <c r="D95" t="s">
        <v>98</v>
      </c>
      <c r="E95" t="s">
        <v>266</v>
      </c>
      <c r="F95" t="s">
        <v>382</v>
      </c>
      <c r="G95" s="1">
        <v>28989</v>
      </c>
      <c r="H95" t="s">
        <v>45</v>
      </c>
      <c r="I95" t="s">
        <v>46</v>
      </c>
      <c r="J95" t="s">
        <v>47</v>
      </c>
      <c r="L95" t="s">
        <v>64</v>
      </c>
      <c r="M95" t="s">
        <v>383</v>
      </c>
      <c r="N95">
        <v>1</v>
      </c>
      <c r="O95" t="s">
        <v>50</v>
      </c>
      <c r="P95" t="s">
        <v>51</v>
      </c>
      <c r="Q95" t="s">
        <v>178</v>
      </c>
      <c r="U95" t="s">
        <v>179</v>
      </c>
      <c r="W95" t="str">
        <f>"0"</f>
        <v>0</v>
      </c>
      <c r="X95" t="str">
        <f>"0"</f>
        <v>0</v>
      </c>
      <c r="Z95" t="str">
        <f>"0"</f>
        <v>0</v>
      </c>
      <c r="AA95" t="str">
        <f t="shared" si="2"/>
        <v>0</v>
      </c>
      <c r="AK95" t="s">
        <v>54</v>
      </c>
      <c r="AL95">
        <v>0</v>
      </c>
    </row>
    <row r="96" spans="1:42" x14ac:dyDescent="0.3">
      <c r="A96">
        <v>2994994</v>
      </c>
      <c r="B96">
        <v>1845411</v>
      </c>
      <c r="C96" t="str">
        <f>"790705401783"</f>
        <v>790705401783</v>
      </c>
      <c r="D96" t="s">
        <v>384</v>
      </c>
      <c r="E96" t="s">
        <v>385</v>
      </c>
      <c r="F96" t="s">
        <v>386</v>
      </c>
      <c r="G96" s="1">
        <v>29041</v>
      </c>
      <c r="H96" t="s">
        <v>45</v>
      </c>
      <c r="I96" t="s">
        <v>89</v>
      </c>
      <c r="J96" t="s">
        <v>47</v>
      </c>
      <c r="L96" t="s">
        <v>64</v>
      </c>
      <c r="M96" t="s">
        <v>90</v>
      </c>
      <c r="N96">
        <v>1.2</v>
      </c>
      <c r="O96" t="s">
        <v>50</v>
      </c>
      <c r="P96" t="s">
        <v>51</v>
      </c>
      <c r="Q96" t="s">
        <v>52</v>
      </c>
      <c r="U96" t="s">
        <v>53</v>
      </c>
      <c r="V96" t="s">
        <v>54</v>
      </c>
      <c r="W96" t="str">
        <f>"5"</f>
        <v>5</v>
      </c>
      <c r="X96" t="str">
        <f>"5"</f>
        <v>5</v>
      </c>
      <c r="Y96" t="str">
        <f>"5"</f>
        <v>5</v>
      </c>
      <c r="Z96" t="str">
        <f>"5"</f>
        <v>5</v>
      </c>
      <c r="AA96" t="str">
        <f t="shared" si="2"/>
        <v>0</v>
      </c>
      <c r="AB96" t="s">
        <v>55</v>
      </c>
      <c r="AE96" t="s">
        <v>94</v>
      </c>
      <c r="AG96" t="s">
        <v>95</v>
      </c>
      <c r="AH96" t="s">
        <v>58</v>
      </c>
      <c r="AI96">
        <v>1.2</v>
      </c>
      <c r="AJ96" t="str">
        <f>"[19]"</f>
        <v>[19]</v>
      </c>
      <c r="AK96" t="s">
        <v>54</v>
      </c>
      <c r="AL96">
        <v>0</v>
      </c>
    </row>
    <row r="97" spans="1:38" x14ac:dyDescent="0.3">
      <c r="A97">
        <v>2994998</v>
      </c>
      <c r="B97">
        <v>1845413</v>
      </c>
      <c r="C97" t="str">
        <f>"830105050744"</f>
        <v>830105050744</v>
      </c>
      <c r="D97" t="s">
        <v>387</v>
      </c>
      <c r="E97" t="s">
        <v>388</v>
      </c>
      <c r="F97" t="s">
        <v>389</v>
      </c>
      <c r="G97" s="1">
        <v>30321</v>
      </c>
      <c r="H97" t="s">
        <v>45</v>
      </c>
      <c r="I97" t="s">
        <v>46</v>
      </c>
      <c r="J97" t="s">
        <v>47</v>
      </c>
      <c r="L97" t="s">
        <v>64</v>
      </c>
      <c r="M97" t="s">
        <v>177</v>
      </c>
      <c r="N97">
        <v>1.5</v>
      </c>
      <c r="O97" t="s">
        <v>50</v>
      </c>
      <c r="P97" t="s">
        <v>51</v>
      </c>
      <c r="Q97" t="s">
        <v>183</v>
      </c>
      <c r="U97" t="s">
        <v>179</v>
      </c>
      <c r="W97" t="str">
        <f>"0"</f>
        <v>0</v>
      </c>
      <c r="X97" t="str">
        <f>"0"</f>
        <v>0</v>
      </c>
      <c r="Z97" t="str">
        <f>"0"</f>
        <v>0</v>
      </c>
      <c r="AA97" t="str">
        <f t="shared" si="2"/>
        <v>0</v>
      </c>
      <c r="AK97" t="s">
        <v>54</v>
      </c>
      <c r="AL97">
        <v>0</v>
      </c>
    </row>
    <row r="98" spans="1:38" x14ac:dyDescent="0.3">
      <c r="A98">
        <v>3008280</v>
      </c>
      <c r="B98">
        <v>581619</v>
      </c>
      <c r="C98" t="str">
        <f>"850626450240"</f>
        <v>850626450240</v>
      </c>
      <c r="D98" t="s">
        <v>390</v>
      </c>
      <c r="E98" t="s">
        <v>391</v>
      </c>
      <c r="F98" t="s">
        <v>392</v>
      </c>
      <c r="G98" s="1">
        <v>31224</v>
      </c>
      <c r="H98" t="s">
        <v>45</v>
      </c>
      <c r="I98" t="s">
        <v>46</v>
      </c>
      <c r="J98" t="s">
        <v>284</v>
      </c>
      <c r="L98" t="s">
        <v>64</v>
      </c>
      <c r="M98" t="s">
        <v>49</v>
      </c>
      <c r="N98">
        <v>0.4</v>
      </c>
      <c r="O98" t="s">
        <v>286</v>
      </c>
      <c r="P98" t="s">
        <v>102</v>
      </c>
      <c r="Q98" t="s">
        <v>103</v>
      </c>
      <c r="U98" t="s">
        <v>53</v>
      </c>
      <c r="V98" t="s">
        <v>54</v>
      </c>
      <c r="W98" t="str">
        <f>"19"</f>
        <v>19</v>
      </c>
      <c r="X98" t="str">
        <f>"19"</f>
        <v>19</v>
      </c>
      <c r="Y98" t="str">
        <f>"16"</f>
        <v>16</v>
      </c>
      <c r="Z98" t="str">
        <f>"16"</f>
        <v>16</v>
      </c>
      <c r="AA98" t="str">
        <f t="shared" si="2"/>
        <v>0</v>
      </c>
      <c r="AB98" t="s">
        <v>65</v>
      </c>
      <c r="AC98" t="s">
        <v>105</v>
      </c>
      <c r="AE98" t="s">
        <v>84</v>
      </c>
      <c r="AG98" t="s">
        <v>120</v>
      </c>
      <c r="AH98" t="s">
        <v>58</v>
      </c>
      <c r="AI98">
        <v>0.4</v>
      </c>
      <c r="AJ98" t="str">
        <f>"[6]"</f>
        <v>[6]</v>
      </c>
      <c r="AK98" t="s">
        <v>54</v>
      </c>
      <c r="AL98">
        <v>0</v>
      </c>
    </row>
    <row r="99" spans="1:38" x14ac:dyDescent="0.3">
      <c r="A99">
        <v>3008281</v>
      </c>
      <c r="B99">
        <v>141756</v>
      </c>
      <c r="C99" t="str">
        <f>"740430301189"</f>
        <v>740430301189</v>
      </c>
      <c r="D99" t="s">
        <v>393</v>
      </c>
      <c r="E99" t="s">
        <v>394</v>
      </c>
      <c r="F99" t="s">
        <v>395</v>
      </c>
      <c r="G99" s="1">
        <v>27149</v>
      </c>
      <c r="H99" t="s">
        <v>206</v>
      </c>
      <c r="I99" t="s">
        <v>46</v>
      </c>
      <c r="J99" t="s">
        <v>47</v>
      </c>
      <c r="L99" t="s">
        <v>64</v>
      </c>
      <c r="M99" t="s">
        <v>49</v>
      </c>
      <c r="N99">
        <v>1</v>
      </c>
      <c r="O99" t="s">
        <v>50</v>
      </c>
      <c r="P99" t="s">
        <v>51</v>
      </c>
      <c r="Q99" t="s">
        <v>52</v>
      </c>
      <c r="U99" t="s">
        <v>53</v>
      </c>
      <c r="V99" t="s">
        <v>54</v>
      </c>
      <c r="W99" t="str">
        <f>"19"</f>
        <v>19</v>
      </c>
      <c r="X99" t="str">
        <f>"19"</f>
        <v>19</v>
      </c>
      <c r="Y99" t="str">
        <f>"19"</f>
        <v>19</v>
      </c>
      <c r="Z99" t="str">
        <f>"19"</f>
        <v>19</v>
      </c>
      <c r="AA99" t="str">
        <f t="shared" si="2"/>
        <v>0</v>
      </c>
      <c r="AB99" t="s">
        <v>104</v>
      </c>
      <c r="AC99" t="s">
        <v>66</v>
      </c>
      <c r="AE99" t="s">
        <v>56</v>
      </c>
      <c r="AG99" t="s">
        <v>209</v>
      </c>
      <c r="AH99" t="s">
        <v>58</v>
      </c>
      <c r="AI99">
        <v>1</v>
      </c>
      <c r="AJ99" t="str">
        <f>"[16]"</f>
        <v>[16]</v>
      </c>
      <c r="AK99" t="s">
        <v>54</v>
      </c>
      <c r="AL99">
        <v>0</v>
      </c>
    </row>
    <row r="100" spans="1:38" x14ac:dyDescent="0.3">
      <c r="A100">
        <v>3008283</v>
      </c>
      <c r="B100">
        <v>157451</v>
      </c>
      <c r="C100" t="str">
        <f>"930922350865"</f>
        <v>930922350865</v>
      </c>
      <c r="D100" t="s">
        <v>396</v>
      </c>
      <c r="E100" t="s">
        <v>397</v>
      </c>
      <c r="F100" t="s">
        <v>230</v>
      </c>
      <c r="G100" s="1">
        <v>34234</v>
      </c>
      <c r="H100" t="s">
        <v>206</v>
      </c>
      <c r="I100" t="s">
        <v>46</v>
      </c>
      <c r="J100" t="s">
        <v>284</v>
      </c>
      <c r="L100" t="s">
        <v>64</v>
      </c>
      <c r="M100" t="s">
        <v>207</v>
      </c>
      <c r="N100">
        <v>1</v>
      </c>
      <c r="O100" t="s">
        <v>286</v>
      </c>
      <c r="P100" t="s">
        <v>51</v>
      </c>
      <c r="Q100" t="s">
        <v>52</v>
      </c>
      <c r="U100" t="s">
        <v>53</v>
      </c>
      <c r="V100" t="s">
        <v>54</v>
      </c>
      <c r="W100" t="str">
        <f>"2"</f>
        <v>2</v>
      </c>
      <c r="X100" t="str">
        <f>"2"</f>
        <v>2</v>
      </c>
      <c r="Y100" t="str">
        <f>"2"</f>
        <v>2</v>
      </c>
      <c r="Z100" t="str">
        <f>"2"</f>
        <v>2</v>
      </c>
      <c r="AA100" t="str">
        <f t="shared" si="2"/>
        <v>0</v>
      </c>
      <c r="AB100" t="s">
        <v>55</v>
      </c>
      <c r="AC100" t="s">
        <v>132</v>
      </c>
      <c r="AE100" t="s">
        <v>56</v>
      </c>
      <c r="AG100" t="s">
        <v>208</v>
      </c>
      <c r="AH100" t="s">
        <v>58</v>
      </c>
      <c r="AK100" t="s">
        <v>54</v>
      </c>
      <c r="AL100">
        <v>0</v>
      </c>
    </row>
    <row r="101" spans="1:38" x14ac:dyDescent="0.3">
      <c r="A101">
        <v>3011172</v>
      </c>
      <c r="B101">
        <v>1504237</v>
      </c>
      <c r="C101" t="str">
        <f>"900306450936"</f>
        <v>900306450936</v>
      </c>
      <c r="D101" t="s">
        <v>398</v>
      </c>
      <c r="E101" t="s">
        <v>399</v>
      </c>
      <c r="F101" t="s">
        <v>400</v>
      </c>
      <c r="G101" s="1">
        <v>32938</v>
      </c>
      <c r="H101" t="s">
        <v>45</v>
      </c>
      <c r="I101" t="s">
        <v>46</v>
      </c>
      <c r="J101" t="s">
        <v>284</v>
      </c>
      <c r="L101" t="s">
        <v>64</v>
      </c>
      <c r="M101" t="s">
        <v>331</v>
      </c>
      <c r="N101">
        <v>1</v>
      </c>
      <c r="O101" t="s">
        <v>286</v>
      </c>
      <c r="P101" t="s">
        <v>51</v>
      </c>
      <c r="Q101" t="s">
        <v>287</v>
      </c>
      <c r="U101" t="s">
        <v>53</v>
      </c>
      <c r="W101" t="str">
        <f>"10"</f>
        <v>10</v>
      </c>
      <c r="X101" t="str">
        <f>"10"</f>
        <v>10</v>
      </c>
      <c r="Z101" t="str">
        <f>"0"</f>
        <v>0</v>
      </c>
      <c r="AA101" t="str">
        <f t="shared" si="2"/>
        <v>0</v>
      </c>
      <c r="AK101" t="s">
        <v>54</v>
      </c>
      <c r="AL101">
        <v>0</v>
      </c>
    </row>
    <row r="102" spans="1:38" x14ac:dyDescent="0.3">
      <c r="A102">
        <v>3011391</v>
      </c>
      <c r="B102">
        <v>567597</v>
      </c>
      <c r="C102" t="str">
        <f>"870823450027"</f>
        <v>870823450027</v>
      </c>
      <c r="D102" t="s">
        <v>390</v>
      </c>
      <c r="E102" t="s">
        <v>266</v>
      </c>
      <c r="F102" t="s">
        <v>401</v>
      </c>
      <c r="G102" s="1">
        <v>32012</v>
      </c>
      <c r="H102" t="s">
        <v>45</v>
      </c>
      <c r="I102" t="s">
        <v>46</v>
      </c>
      <c r="J102" t="s">
        <v>47</v>
      </c>
      <c r="L102" t="s">
        <v>64</v>
      </c>
      <c r="M102" t="s">
        <v>402</v>
      </c>
      <c r="N102">
        <v>1</v>
      </c>
      <c r="O102" t="s">
        <v>50</v>
      </c>
      <c r="P102" t="s">
        <v>51</v>
      </c>
      <c r="Q102" t="s">
        <v>52</v>
      </c>
      <c r="U102" t="s">
        <v>53</v>
      </c>
      <c r="V102" t="s">
        <v>72</v>
      </c>
      <c r="W102" t="str">
        <f>"17"</f>
        <v>17</v>
      </c>
      <c r="X102" t="str">
        <f>"17"</f>
        <v>17</v>
      </c>
      <c r="Y102" t="str">
        <f>"17"</f>
        <v>17</v>
      </c>
      <c r="Z102" t="str">
        <f>"17"</f>
        <v>17</v>
      </c>
      <c r="AA102" t="str">
        <f t="shared" si="2"/>
        <v>0</v>
      </c>
      <c r="AB102" t="s">
        <v>73</v>
      </c>
      <c r="AC102" t="s">
        <v>66</v>
      </c>
      <c r="AE102" t="s">
        <v>56</v>
      </c>
      <c r="AK102" t="s">
        <v>54</v>
      </c>
      <c r="AL102">
        <v>0</v>
      </c>
    </row>
    <row r="103" spans="1:38" x14ac:dyDescent="0.3">
      <c r="A103">
        <v>3012065</v>
      </c>
      <c r="B103">
        <v>1529062</v>
      </c>
      <c r="C103" t="str">
        <f>"710823450471"</f>
        <v>710823450471</v>
      </c>
      <c r="D103" t="s">
        <v>403</v>
      </c>
      <c r="E103" t="s">
        <v>404</v>
      </c>
      <c r="F103" t="s">
        <v>405</v>
      </c>
      <c r="G103" s="1">
        <v>26168</v>
      </c>
      <c r="H103" t="s">
        <v>45</v>
      </c>
      <c r="I103" t="s">
        <v>46</v>
      </c>
      <c r="J103" t="s">
        <v>47</v>
      </c>
      <c r="L103" t="s">
        <v>64</v>
      </c>
      <c r="M103" t="s">
        <v>177</v>
      </c>
      <c r="N103">
        <v>1.5</v>
      </c>
      <c r="O103" t="s">
        <v>50</v>
      </c>
      <c r="P103" t="s">
        <v>51</v>
      </c>
      <c r="Q103" t="s">
        <v>183</v>
      </c>
      <c r="U103" t="s">
        <v>179</v>
      </c>
      <c r="W103" t="str">
        <f>"6"</f>
        <v>6</v>
      </c>
      <c r="X103" t="str">
        <f>"7"</f>
        <v>7</v>
      </c>
      <c r="Z103" t="str">
        <f>"0"</f>
        <v>0</v>
      </c>
      <c r="AA103" t="str">
        <f>"1"</f>
        <v>1</v>
      </c>
      <c r="AK103" t="s">
        <v>54</v>
      </c>
      <c r="AL1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Гулзада Хуаныш</dc:creator>
  <cp:lastModifiedBy>gulek</cp:lastModifiedBy>
  <dcterms:created xsi:type="dcterms:W3CDTF">2024-02-22T09:52:57Z</dcterms:created>
  <dcterms:modified xsi:type="dcterms:W3CDTF">2024-02-22T10:02:54Z</dcterms:modified>
</cp:coreProperties>
</file>