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ulek\OneDrive\Рабочий стол\НОБД СШ7\Аттестация 2023-2024\"/>
    </mc:Choice>
  </mc:AlternateContent>
  <bookViews>
    <workbookView xWindow="0" yWindow="0" windowWidth="23040" windowHeight="8784"/>
  </bookViews>
  <sheets>
    <sheet name="Коллектив" sheetId="1" r:id="rId1"/>
  </sheets>
  <definedNames>
    <definedName name="_xlnm._FilterDatabase" localSheetId="0" hidden="1">Коллектив!$A$1:$CY$103</definedName>
  </definedNames>
  <calcPr calcId="162913"/>
</workbook>
</file>

<file path=xl/calcChain.xml><?xml version="1.0" encoding="utf-8"?>
<calcChain xmlns="http://schemas.openxmlformats.org/spreadsheetml/2006/main">
  <c r="C2" i="1" l="1"/>
  <c r="W2" i="1"/>
  <c r="X2" i="1"/>
  <c r="AP2" i="1"/>
  <c r="AQ2" i="1"/>
  <c r="AR2" i="1"/>
  <c r="AS2" i="1"/>
  <c r="AT2" i="1"/>
  <c r="AU2" i="1"/>
  <c r="AV2" i="1"/>
  <c r="BG2" i="1"/>
  <c r="CI2" i="1"/>
  <c r="C3" i="1"/>
  <c r="W3" i="1"/>
  <c r="X3" i="1"/>
  <c r="AP3" i="1"/>
  <c r="AQ3" i="1"/>
  <c r="AR3" i="1"/>
  <c r="AS3" i="1"/>
  <c r="AT3" i="1"/>
  <c r="AU3" i="1"/>
  <c r="AV3" i="1"/>
  <c r="BG3" i="1"/>
  <c r="CI3" i="1"/>
  <c r="C4" i="1"/>
  <c r="W4" i="1"/>
  <c r="X4" i="1"/>
  <c r="AP4" i="1"/>
  <c r="AQ4" i="1"/>
  <c r="AR4" i="1"/>
  <c r="AS4" i="1"/>
  <c r="AT4" i="1"/>
  <c r="AU4" i="1"/>
  <c r="AV4" i="1"/>
  <c r="C5" i="1"/>
  <c r="W5" i="1"/>
  <c r="X5" i="1"/>
  <c r="AP5" i="1"/>
  <c r="AQ5" i="1"/>
  <c r="AR5" i="1"/>
  <c r="AS5" i="1"/>
  <c r="AT5" i="1"/>
  <c r="AU5" i="1"/>
  <c r="AV5" i="1"/>
  <c r="CI5" i="1"/>
  <c r="C6" i="1"/>
  <c r="W6" i="1"/>
  <c r="X6" i="1"/>
  <c r="AP6" i="1"/>
  <c r="AQ6" i="1"/>
  <c r="AR6" i="1"/>
  <c r="AS6" i="1"/>
  <c r="AT6" i="1"/>
  <c r="AU6" i="1"/>
  <c r="AV6" i="1"/>
  <c r="BG6" i="1"/>
  <c r="CI6" i="1"/>
  <c r="C7" i="1"/>
  <c r="W7" i="1"/>
  <c r="X7" i="1"/>
  <c r="AP7" i="1"/>
  <c r="AQ7" i="1"/>
  <c r="AR7" i="1"/>
  <c r="AS7" i="1"/>
  <c r="AT7" i="1"/>
  <c r="AU7" i="1"/>
  <c r="AV7" i="1"/>
  <c r="BG7" i="1"/>
  <c r="CI7" i="1"/>
  <c r="C8" i="1"/>
  <c r="W8" i="1"/>
  <c r="X8" i="1"/>
  <c r="AP8" i="1"/>
  <c r="AQ8" i="1"/>
  <c r="AR8" i="1"/>
  <c r="AS8" i="1"/>
  <c r="AT8" i="1"/>
  <c r="AU8" i="1"/>
  <c r="AV8" i="1"/>
  <c r="BG8" i="1"/>
  <c r="CI8" i="1"/>
  <c r="C9" i="1"/>
  <c r="W9" i="1"/>
  <c r="X9" i="1"/>
  <c r="AP9" i="1"/>
  <c r="AQ9" i="1"/>
  <c r="AR9" i="1"/>
  <c r="AS9" i="1"/>
  <c r="AT9" i="1"/>
  <c r="AU9" i="1"/>
  <c r="AV9" i="1"/>
  <c r="BG9" i="1"/>
  <c r="CI9" i="1"/>
  <c r="C10" i="1"/>
  <c r="W10" i="1"/>
  <c r="X10" i="1"/>
  <c r="AP10" i="1"/>
  <c r="AQ10" i="1"/>
  <c r="AR10" i="1"/>
  <c r="AS10" i="1"/>
  <c r="AT10" i="1"/>
  <c r="AU10" i="1"/>
  <c r="AV10" i="1"/>
  <c r="BG10" i="1"/>
  <c r="CI10" i="1"/>
  <c r="C11" i="1"/>
  <c r="W11" i="1"/>
  <c r="X11" i="1"/>
  <c r="AP11" i="1"/>
  <c r="AQ11" i="1"/>
  <c r="AR11" i="1"/>
  <c r="AS11" i="1"/>
  <c r="AT11" i="1"/>
  <c r="AU11" i="1"/>
  <c r="AV11" i="1"/>
  <c r="CI11" i="1"/>
  <c r="C12" i="1"/>
  <c r="W12" i="1"/>
  <c r="X12" i="1"/>
  <c r="AP12" i="1"/>
  <c r="AQ12" i="1"/>
  <c r="AR12" i="1"/>
  <c r="AS12" i="1"/>
  <c r="AT12" i="1"/>
  <c r="AU12" i="1"/>
  <c r="AV12" i="1"/>
  <c r="BG12" i="1"/>
  <c r="CI12" i="1"/>
  <c r="C13" i="1"/>
  <c r="W13" i="1"/>
  <c r="X13" i="1"/>
  <c r="AP13" i="1"/>
  <c r="AQ13" i="1"/>
  <c r="AR13" i="1"/>
  <c r="AS13" i="1"/>
  <c r="AT13" i="1"/>
  <c r="AU13" i="1"/>
  <c r="AV13" i="1"/>
  <c r="BG13" i="1"/>
  <c r="CI13" i="1"/>
  <c r="C14" i="1"/>
  <c r="W14" i="1"/>
  <c r="X14" i="1"/>
  <c r="AP14" i="1"/>
  <c r="AQ14" i="1"/>
  <c r="AR14" i="1"/>
  <c r="AS14" i="1"/>
  <c r="AT14" i="1"/>
  <c r="AU14" i="1"/>
  <c r="AV14" i="1"/>
  <c r="BG14" i="1"/>
  <c r="CI14" i="1"/>
  <c r="C15" i="1"/>
  <c r="W15" i="1"/>
  <c r="X15" i="1"/>
  <c r="AP15" i="1"/>
  <c r="AQ15" i="1"/>
  <c r="AR15" i="1"/>
  <c r="AS15" i="1"/>
  <c r="AT15" i="1"/>
  <c r="AU15" i="1"/>
  <c r="AV15" i="1"/>
  <c r="BG15" i="1"/>
  <c r="CI15" i="1"/>
  <c r="C16" i="1"/>
  <c r="W16" i="1"/>
  <c r="X16" i="1"/>
  <c r="AP16" i="1"/>
  <c r="AQ16" i="1"/>
  <c r="AR16" i="1"/>
  <c r="AS16" i="1"/>
  <c r="AT16" i="1"/>
  <c r="AU16" i="1"/>
  <c r="AV16" i="1"/>
  <c r="BG16" i="1"/>
  <c r="CI16" i="1"/>
  <c r="C17" i="1"/>
  <c r="W17" i="1"/>
  <c r="X17" i="1"/>
  <c r="AP17" i="1"/>
  <c r="AQ17" i="1"/>
  <c r="AR17" i="1"/>
  <c r="AS17" i="1"/>
  <c r="AT17" i="1"/>
  <c r="AU17" i="1"/>
  <c r="AV17" i="1"/>
  <c r="BG17" i="1"/>
  <c r="CI17" i="1"/>
  <c r="C18" i="1"/>
  <c r="W18" i="1"/>
  <c r="X18" i="1"/>
  <c r="AP18" i="1"/>
  <c r="AQ18" i="1"/>
  <c r="AR18" i="1"/>
  <c r="AS18" i="1"/>
  <c r="AT18" i="1"/>
  <c r="AU18" i="1"/>
  <c r="AV18" i="1"/>
  <c r="BG18" i="1"/>
  <c r="CI18" i="1"/>
  <c r="C19" i="1"/>
  <c r="W19" i="1"/>
  <c r="X19" i="1"/>
  <c r="AP19" i="1"/>
  <c r="AQ19" i="1"/>
  <c r="AR19" i="1"/>
  <c r="AS19" i="1"/>
  <c r="AT19" i="1"/>
  <c r="AU19" i="1"/>
  <c r="AV19" i="1"/>
  <c r="BG19" i="1"/>
  <c r="CI19" i="1"/>
  <c r="C20" i="1"/>
  <c r="W20" i="1"/>
  <c r="X20" i="1"/>
  <c r="AP20" i="1"/>
  <c r="AQ20" i="1"/>
  <c r="AR20" i="1"/>
  <c r="AS20" i="1"/>
  <c r="AT20" i="1"/>
  <c r="AU20" i="1"/>
  <c r="AV20" i="1"/>
  <c r="BG20" i="1"/>
  <c r="CI20" i="1"/>
  <c r="C21" i="1"/>
  <c r="W21" i="1"/>
  <c r="X21" i="1"/>
  <c r="AP21" i="1"/>
  <c r="AQ21" i="1"/>
  <c r="AR21" i="1"/>
  <c r="AS21" i="1"/>
  <c r="AT21" i="1"/>
  <c r="AU21" i="1"/>
  <c r="AV21" i="1"/>
  <c r="BG21" i="1"/>
  <c r="CI21" i="1"/>
  <c r="C22" i="1"/>
  <c r="U22" i="1"/>
  <c r="V22" i="1"/>
  <c r="W22" i="1"/>
  <c r="X22" i="1"/>
  <c r="AP22" i="1"/>
  <c r="AQ22" i="1"/>
  <c r="AR22" i="1"/>
  <c r="AS22" i="1"/>
  <c r="AT22" i="1"/>
  <c r="AU22" i="1"/>
  <c r="AV22" i="1"/>
  <c r="BG22" i="1"/>
  <c r="CI22" i="1"/>
  <c r="C23" i="1"/>
  <c r="W23" i="1"/>
  <c r="X23" i="1"/>
  <c r="AP23" i="1"/>
  <c r="AQ23" i="1"/>
  <c r="AR23" i="1"/>
  <c r="AS23" i="1"/>
  <c r="AT23" i="1"/>
  <c r="AU23" i="1"/>
  <c r="AV23" i="1"/>
  <c r="BG23" i="1"/>
  <c r="CI23" i="1"/>
  <c r="C24" i="1"/>
  <c r="W24" i="1"/>
  <c r="X24" i="1"/>
  <c r="AP24" i="1"/>
  <c r="AQ24" i="1"/>
  <c r="AR24" i="1"/>
  <c r="AS24" i="1"/>
  <c r="AT24" i="1"/>
  <c r="AU24" i="1"/>
  <c r="AV24" i="1"/>
  <c r="BG24" i="1"/>
  <c r="CI24" i="1"/>
  <c r="C25" i="1"/>
  <c r="W25" i="1"/>
  <c r="X25" i="1"/>
  <c r="AP25" i="1"/>
  <c r="AQ25" i="1"/>
  <c r="AR25" i="1"/>
  <c r="AS25" i="1"/>
  <c r="AT25" i="1"/>
  <c r="AU25" i="1"/>
  <c r="AV25" i="1"/>
  <c r="BG25" i="1"/>
  <c r="CI25" i="1"/>
  <c r="C26" i="1"/>
  <c r="W26" i="1"/>
  <c r="X26" i="1"/>
  <c r="AP26" i="1"/>
  <c r="AQ26" i="1"/>
  <c r="AR26" i="1"/>
  <c r="AS26" i="1"/>
  <c r="AT26" i="1"/>
  <c r="AU26" i="1"/>
  <c r="AV26" i="1"/>
  <c r="BG26" i="1"/>
  <c r="CI26" i="1"/>
  <c r="C27" i="1"/>
  <c r="W27" i="1"/>
  <c r="X27" i="1"/>
  <c r="AP27" i="1"/>
  <c r="AQ27" i="1"/>
  <c r="AR27" i="1"/>
  <c r="AS27" i="1"/>
  <c r="AT27" i="1"/>
  <c r="AU27" i="1"/>
  <c r="AV27" i="1"/>
  <c r="BG27" i="1"/>
  <c r="CI27" i="1"/>
  <c r="C28" i="1"/>
  <c r="W28" i="1"/>
  <c r="X28" i="1"/>
  <c r="AP28" i="1"/>
  <c r="AQ28" i="1"/>
  <c r="AR28" i="1"/>
  <c r="AS28" i="1"/>
  <c r="AT28" i="1"/>
  <c r="AU28" i="1"/>
  <c r="AV28" i="1"/>
  <c r="BG28" i="1"/>
  <c r="CI28" i="1"/>
  <c r="C29" i="1"/>
  <c r="W29" i="1"/>
  <c r="X29" i="1"/>
  <c r="AP29" i="1"/>
  <c r="AQ29" i="1"/>
  <c r="AS29" i="1"/>
  <c r="AT29" i="1"/>
  <c r="C30" i="1"/>
  <c r="W30" i="1"/>
  <c r="X30" i="1"/>
  <c r="AP30" i="1"/>
  <c r="AQ30" i="1"/>
  <c r="AS30" i="1"/>
  <c r="AT30" i="1"/>
  <c r="C31" i="1"/>
  <c r="W31" i="1"/>
  <c r="X31" i="1"/>
  <c r="AP31" i="1"/>
  <c r="AQ31" i="1"/>
  <c r="AR31" i="1"/>
  <c r="AS31" i="1"/>
  <c r="AT31" i="1"/>
  <c r="AU31" i="1"/>
  <c r="AV31" i="1"/>
  <c r="BG31" i="1"/>
  <c r="CI31" i="1"/>
  <c r="C32" i="1"/>
  <c r="W32" i="1"/>
  <c r="X32" i="1"/>
  <c r="AP32" i="1"/>
  <c r="AQ32" i="1"/>
  <c r="AR32" i="1"/>
  <c r="AS32" i="1"/>
  <c r="AT32" i="1"/>
  <c r="AU32" i="1"/>
  <c r="AV32" i="1"/>
  <c r="BG32" i="1"/>
  <c r="CI32" i="1"/>
  <c r="C33" i="1"/>
  <c r="W33" i="1"/>
  <c r="X33" i="1"/>
  <c r="AP33" i="1"/>
  <c r="AQ33" i="1"/>
  <c r="AR33" i="1"/>
  <c r="AS33" i="1"/>
  <c r="AT33" i="1"/>
  <c r="AU33" i="1"/>
  <c r="AV33" i="1"/>
  <c r="BG33" i="1"/>
  <c r="CI33" i="1"/>
  <c r="C34" i="1"/>
  <c r="W34" i="1"/>
  <c r="X34" i="1"/>
  <c r="AP34" i="1"/>
  <c r="AQ34" i="1"/>
  <c r="AR34" i="1"/>
  <c r="AS34" i="1"/>
  <c r="AT34" i="1"/>
  <c r="AU34" i="1"/>
  <c r="AV34" i="1"/>
  <c r="BG34" i="1"/>
  <c r="CI34" i="1"/>
  <c r="C35" i="1"/>
  <c r="W35" i="1"/>
  <c r="X35" i="1"/>
  <c r="AP35" i="1"/>
  <c r="AQ35" i="1"/>
  <c r="AS35" i="1"/>
  <c r="AT35" i="1"/>
  <c r="C36" i="1"/>
  <c r="W36" i="1"/>
  <c r="X36" i="1"/>
  <c r="AP36" i="1"/>
  <c r="AQ36" i="1"/>
  <c r="AS36" i="1"/>
  <c r="AT36" i="1"/>
  <c r="C37" i="1"/>
  <c r="W37" i="1"/>
  <c r="X37" i="1"/>
  <c r="AP37" i="1"/>
  <c r="AQ37" i="1"/>
  <c r="AR37" i="1"/>
  <c r="AS37" i="1"/>
  <c r="AT37" i="1"/>
  <c r="AU37" i="1"/>
  <c r="AV37" i="1"/>
  <c r="CI37" i="1"/>
  <c r="C38" i="1"/>
  <c r="W38" i="1"/>
  <c r="X38" i="1"/>
  <c r="AP38" i="1"/>
  <c r="AQ38" i="1"/>
  <c r="AR38" i="1"/>
  <c r="AS38" i="1"/>
  <c r="AT38" i="1"/>
  <c r="AU38" i="1"/>
  <c r="AV38" i="1"/>
  <c r="BG38" i="1"/>
  <c r="CI38" i="1"/>
  <c r="C39" i="1"/>
  <c r="W39" i="1"/>
  <c r="X39" i="1"/>
  <c r="AP39" i="1"/>
  <c r="AQ39" i="1"/>
  <c r="AR39" i="1"/>
  <c r="AS39" i="1"/>
  <c r="AT39" i="1"/>
  <c r="AU39" i="1"/>
  <c r="AV39" i="1"/>
  <c r="BG39" i="1"/>
  <c r="CI39" i="1"/>
  <c r="C40" i="1"/>
  <c r="W40" i="1"/>
  <c r="X40" i="1"/>
  <c r="AP40" i="1"/>
  <c r="AQ40" i="1"/>
  <c r="AS40" i="1"/>
  <c r="AT40" i="1"/>
  <c r="C41" i="1"/>
  <c r="W41" i="1"/>
  <c r="X41" i="1"/>
  <c r="AP41" i="1"/>
  <c r="AQ41" i="1"/>
  <c r="AR41" i="1"/>
  <c r="AS41" i="1"/>
  <c r="AT41" i="1"/>
  <c r="AU41" i="1"/>
  <c r="AV41" i="1"/>
  <c r="BG41" i="1"/>
  <c r="CI41" i="1"/>
  <c r="C42" i="1"/>
  <c r="W42" i="1"/>
  <c r="X42" i="1"/>
  <c r="AP42" i="1"/>
  <c r="AQ42" i="1"/>
  <c r="AR42" i="1"/>
  <c r="AS42" i="1"/>
  <c r="AT42" i="1"/>
  <c r="AU42" i="1"/>
  <c r="AV42" i="1"/>
  <c r="BG42" i="1"/>
  <c r="CI42" i="1"/>
  <c r="C43" i="1"/>
  <c r="W43" i="1"/>
  <c r="X43" i="1"/>
  <c r="AP43" i="1"/>
  <c r="AQ43" i="1"/>
  <c r="AR43" i="1"/>
  <c r="AS43" i="1"/>
  <c r="AT43" i="1"/>
  <c r="AU43" i="1"/>
  <c r="AV43" i="1"/>
  <c r="BG43" i="1"/>
  <c r="CI43" i="1"/>
  <c r="C44" i="1"/>
  <c r="W44" i="1"/>
  <c r="X44" i="1"/>
  <c r="AP44" i="1"/>
  <c r="AQ44" i="1"/>
  <c r="AR44" i="1"/>
  <c r="AS44" i="1"/>
  <c r="AT44" i="1"/>
  <c r="AU44" i="1"/>
  <c r="AV44" i="1"/>
  <c r="BG44" i="1"/>
  <c r="CI44" i="1"/>
  <c r="C45" i="1"/>
  <c r="W45" i="1"/>
  <c r="X45" i="1"/>
  <c r="AP45" i="1"/>
  <c r="AQ45" i="1"/>
  <c r="AR45" i="1"/>
  <c r="AS45" i="1"/>
  <c r="AT45" i="1"/>
  <c r="AU45" i="1"/>
  <c r="AV45" i="1"/>
  <c r="BG45" i="1"/>
  <c r="CI45" i="1"/>
  <c r="C46" i="1"/>
  <c r="W46" i="1"/>
  <c r="X46" i="1"/>
  <c r="AP46" i="1"/>
  <c r="AQ46" i="1"/>
  <c r="AR46" i="1"/>
  <c r="AS46" i="1"/>
  <c r="AT46" i="1"/>
  <c r="AU46" i="1"/>
  <c r="AV46" i="1"/>
  <c r="BG46" i="1"/>
  <c r="CI46" i="1"/>
  <c r="C47" i="1"/>
  <c r="W47" i="1"/>
  <c r="X47" i="1"/>
  <c r="AP47" i="1"/>
  <c r="AQ47" i="1"/>
  <c r="AR47" i="1"/>
  <c r="AS47" i="1"/>
  <c r="AT47" i="1"/>
  <c r="AU47" i="1"/>
  <c r="AV47" i="1"/>
  <c r="CI47" i="1"/>
  <c r="C48" i="1"/>
  <c r="W48" i="1"/>
  <c r="X48" i="1"/>
  <c r="AP48" i="1"/>
  <c r="AQ48" i="1"/>
  <c r="AR48" i="1"/>
  <c r="AS48" i="1"/>
  <c r="AT48" i="1"/>
  <c r="AU48" i="1"/>
  <c r="AV48" i="1"/>
  <c r="BG48" i="1"/>
  <c r="CI48" i="1"/>
  <c r="C49" i="1"/>
  <c r="W49" i="1"/>
  <c r="X49" i="1"/>
  <c r="AP49" i="1"/>
  <c r="AQ49" i="1"/>
  <c r="AR49" i="1"/>
  <c r="AS49" i="1"/>
  <c r="AT49" i="1"/>
  <c r="AU49" i="1"/>
  <c r="AV49" i="1"/>
  <c r="BG49" i="1"/>
  <c r="CI49" i="1"/>
  <c r="C50" i="1"/>
  <c r="W50" i="1"/>
  <c r="X50" i="1"/>
  <c r="AP50" i="1"/>
  <c r="AQ50" i="1"/>
  <c r="AR50" i="1"/>
  <c r="AS50" i="1"/>
  <c r="AT50" i="1"/>
  <c r="AU50" i="1"/>
  <c r="AV50" i="1"/>
  <c r="BG50" i="1"/>
  <c r="CI50" i="1"/>
  <c r="C51" i="1"/>
  <c r="W51" i="1"/>
  <c r="X51" i="1"/>
  <c r="AP51" i="1"/>
  <c r="AQ51" i="1"/>
  <c r="AR51" i="1"/>
  <c r="AS51" i="1"/>
  <c r="AT51" i="1"/>
  <c r="AU51" i="1"/>
  <c r="AV51" i="1"/>
  <c r="CI51" i="1"/>
  <c r="C52" i="1"/>
  <c r="W52" i="1"/>
  <c r="X52" i="1"/>
  <c r="AP52" i="1"/>
  <c r="AQ52" i="1"/>
  <c r="AS52" i="1"/>
  <c r="AT52" i="1"/>
  <c r="C53" i="1"/>
  <c r="W53" i="1"/>
  <c r="X53" i="1"/>
  <c r="AP53" i="1"/>
  <c r="AQ53" i="1"/>
  <c r="AR53" i="1"/>
  <c r="AS53" i="1"/>
  <c r="AT53" i="1"/>
  <c r="AU53" i="1"/>
  <c r="AV53" i="1"/>
  <c r="BG53" i="1"/>
  <c r="CI53" i="1"/>
  <c r="C54" i="1"/>
  <c r="W54" i="1"/>
  <c r="X54" i="1"/>
  <c r="AP54" i="1"/>
  <c r="AQ54" i="1"/>
  <c r="AR54" i="1"/>
  <c r="AS54" i="1"/>
  <c r="AT54" i="1"/>
  <c r="AU54" i="1"/>
  <c r="AV54" i="1"/>
  <c r="BG54" i="1"/>
  <c r="CI54" i="1"/>
  <c r="C55" i="1"/>
  <c r="W55" i="1"/>
  <c r="X55" i="1"/>
  <c r="AP55" i="1"/>
  <c r="AQ55" i="1"/>
  <c r="AR55" i="1"/>
  <c r="AS55" i="1"/>
  <c r="AT55" i="1"/>
  <c r="AU55" i="1"/>
  <c r="AV55" i="1"/>
  <c r="BG55" i="1"/>
  <c r="CI55" i="1"/>
  <c r="C56" i="1"/>
  <c r="W56" i="1"/>
  <c r="X56" i="1"/>
  <c r="AP56" i="1"/>
  <c r="AQ56" i="1"/>
  <c r="AR56" i="1"/>
  <c r="AS56" i="1"/>
  <c r="AT56" i="1"/>
  <c r="AU56" i="1"/>
  <c r="AV56" i="1"/>
  <c r="BG56" i="1"/>
  <c r="CI56" i="1"/>
  <c r="C57" i="1"/>
  <c r="W57" i="1"/>
  <c r="X57" i="1"/>
  <c r="AP57" i="1"/>
  <c r="AQ57" i="1"/>
  <c r="AR57" i="1"/>
  <c r="AS57" i="1"/>
  <c r="AT57" i="1"/>
  <c r="AU57" i="1"/>
  <c r="AV57" i="1"/>
  <c r="BG57" i="1"/>
  <c r="CI57" i="1"/>
  <c r="C58" i="1"/>
  <c r="W58" i="1"/>
  <c r="X58" i="1"/>
  <c r="AP58" i="1"/>
  <c r="AQ58" i="1"/>
  <c r="AR58" i="1"/>
  <c r="AS58" i="1"/>
  <c r="AT58" i="1"/>
  <c r="AU58" i="1"/>
  <c r="AV58" i="1"/>
  <c r="BG58" i="1"/>
  <c r="CI58" i="1"/>
  <c r="C59" i="1"/>
  <c r="W59" i="1"/>
  <c r="X59" i="1"/>
  <c r="AP59" i="1"/>
  <c r="AQ59" i="1"/>
  <c r="AR59" i="1"/>
  <c r="AS59" i="1"/>
  <c r="AT59" i="1"/>
  <c r="AU59" i="1"/>
  <c r="AV59" i="1"/>
  <c r="BG59" i="1"/>
  <c r="CI59" i="1"/>
  <c r="C60" i="1"/>
  <c r="W60" i="1"/>
  <c r="X60" i="1"/>
  <c r="AP60" i="1"/>
  <c r="AQ60" i="1"/>
  <c r="AR60" i="1"/>
  <c r="AS60" i="1"/>
  <c r="AT60" i="1"/>
  <c r="AU60" i="1"/>
  <c r="AV60" i="1"/>
  <c r="C61" i="1"/>
  <c r="W61" i="1"/>
  <c r="X61" i="1"/>
  <c r="AP61" i="1"/>
  <c r="AQ61" i="1"/>
  <c r="AR61" i="1"/>
  <c r="AS61" i="1"/>
  <c r="AT61" i="1"/>
  <c r="AU61" i="1"/>
  <c r="AV61" i="1"/>
  <c r="BG61" i="1"/>
  <c r="CI61" i="1"/>
  <c r="C62" i="1"/>
  <c r="W62" i="1"/>
  <c r="X62" i="1"/>
  <c r="AP62" i="1"/>
  <c r="AQ62" i="1"/>
  <c r="AS62" i="1"/>
  <c r="AT62" i="1"/>
  <c r="C63" i="1"/>
  <c r="W63" i="1"/>
  <c r="X63" i="1"/>
  <c r="AP63" i="1"/>
  <c r="AQ63" i="1"/>
  <c r="AS63" i="1"/>
  <c r="AT63" i="1"/>
  <c r="C64" i="1"/>
  <c r="W64" i="1"/>
  <c r="X64" i="1"/>
  <c r="AP64" i="1"/>
  <c r="AQ64" i="1"/>
  <c r="AS64" i="1"/>
  <c r="AT64" i="1"/>
  <c r="AU64" i="1"/>
  <c r="AV64" i="1"/>
  <c r="CI64" i="1"/>
  <c r="C65" i="1"/>
  <c r="W65" i="1"/>
  <c r="X65" i="1"/>
  <c r="AP65" i="1"/>
  <c r="AQ65" i="1"/>
  <c r="AR65" i="1"/>
  <c r="AS65" i="1"/>
  <c r="AT65" i="1"/>
  <c r="AU65" i="1"/>
  <c r="AV65" i="1"/>
  <c r="BG65" i="1"/>
  <c r="CI65" i="1"/>
  <c r="C66" i="1"/>
  <c r="W66" i="1"/>
  <c r="X66" i="1"/>
  <c r="AP66" i="1"/>
  <c r="AQ66" i="1"/>
  <c r="AR66" i="1"/>
  <c r="AS66" i="1"/>
  <c r="AT66" i="1"/>
  <c r="AU66" i="1"/>
  <c r="AV66" i="1"/>
  <c r="BG66" i="1"/>
  <c r="CI66" i="1"/>
  <c r="C67" i="1"/>
  <c r="W67" i="1"/>
  <c r="X67" i="1"/>
  <c r="AP67" i="1"/>
  <c r="AQ67" i="1"/>
  <c r="AR67" i="1"/>
  <c r="AS67" i="1"/>
  <c r="AT67" i="1"/>
  <c r="AU67" i="1"/>
  <c r="AV67" i="1"/>
  <c r="BG67" i="1"/>
  <c r="CI67" i="1"/>
  <c r="C68" i="1"/>
  <c r="W68" i="1"/>
  <c r="X68" i="1"/>
  <c r="AP68" i="1"/>
  <c r="AQ68" i="1"/>
  <c r="AR68" i="1"/>
  <c r="AS68" i="1"/>
  <c r="AT68" i="1"/>
  <c r="AU68" i="1"/>
  <c r="AV68" i="1"/>
  <c r="BG68" i="1"/>
  <c r="CI68" i="1"/>
  <c r="C69" i="1"/>
  <c r="W69" i="1"/>
  <c r="X69" i="1"/>
  <c r="AP69" i="1"/>
  <c r="AQ69" i="1"/>
  <c r="AR69" i="1"/>
  <c r="AS69" i="1"/>
  <c r="AT69" i="1"/>
  <c r="AU69" i="1"/>
  <c r="AV69" i="1"/>
  <c r="BG69" i="1"/>
  <c r="CI69" i="1"/>
  <c r="C70" i="1"/>
  <c r="W70" i="1"/>
  <c r="X70" i="1"/>
  <c r="AP70" i="1"/>
  <c r="AQ70" i="1"/>
  <c r="AS70" i="1"/>
  <c r="AT70" i="1"/>
  <c r="C71" i="1"/>
  <c r="W71" i="1"/>
  <c r="X71" i="1"/>
  <c r="AP71" i="1"/>
  <c r="AQ71" i="1"/>
  <c r="AS71" i="1"/>
  <c r="AT71" i="1"/>
  <c r="C72" i="1"/>
  <c r="W72" i="1"/>
  <c r="X72" i="1"/>
  <c r="AP72" i="1"/>
  <c r="AQ72" i="1"/>
  <c r="AS72" i="1"/>
  <c r="AT72" i="1"/>
  <c r="C73" i="1"/>
  <c r="W73" i="1"/>
  <c r="X73" i="1"/>
  <c r="AP73" i="1"/>
  <c r="AQ73" i="1"/>
  <c r="AS73" i="1"/>
  <c r="AT73" i="1"/>
  <c r="C74" i="1"/>
  <c r="W74" i="1"/>
  <c r="X74" i="1"/>
  <c r="AP74" i="1"/>
  <c r="AQ74" i="1"/>
  <c r="AR74" i="1"/>
  <c r="AS74" i="1"/>
  <c r="AT74" i="1"/>
  <c r="AU74" i="1"/>
  <c r="AV74" i="1"/>
  <c r="BG74" i="1"/>
  <c r="CI74" i="1"/>
  <c r="C75" i="1"/>
  <c r="W75" i="1"/>
  <c r="X75" i="1"/>
  <c r="AP75" i="1"/>
  <c r="AQ75" i="1"/>
  <c r="AS75" i="1"/>
  <c r="AT75" i="1"/>
  <c r="C76" i="1"/>
  <c r="W76" i="1"/>
  <c r="X76" i="1"/>
  <c r="AP76" i="1"/>
  <c r="AQ76" i="1"/>
  <c r="AS76" i="1"/>
  <c r="AT76" i="1"/>
  <c r="C77" i="1"/>
  <c r="W77" i="1"/>
  <c r="X77" i="1"/>
  <c r="AP77" i="1"/>
  <c r="AQ77" i="1"/>
  <c r="AR77" i="1"/>
  <c r="AS77" i="1"/>
  <c r="AT77" i="1"/>
  <c r="AU77" i="1"/>
  <c r="AV77" i="1"/>
  <c r="BG77" i="1"/>
  <c r="CI77" i="1"/>
  <c r="C78" i="1"/>
  <c r="W78" i="1"/>
  <c r="X78" i="1"/>
  <c r="AP78" i="1"/>
  <c r="AQ78" i="1"/>
  <c r="AR78" i="1"/>
  <c r="AS78" i="1"/>
  <c r="AT78" i="1"/>
  <c r="AU78" i="1"/>
  <c r="AV78" i="1"/>
  <c r="BG78" i="1"/>
  <c r="CI78" i="1"/>
  <c r="C79" i="1"/>
  <c r="W79" i="1"/>
  <c r="X79" i="1"/>
  <c r="AP79" i="1"/>
  <c r="AQ79" i="1"/>
  <c r="AR79" i="1"/>
  <c r="AS79" i="1"/>
  <c r="AT79" i="1"/>
  <c r="AU79" i="1"/>
  <c r="AV79" i="1"/>
  <c r="BG79" i="1"/>
  <c r="CI79" i="1"/>
  <c r="C80" i="1"/>
  <c r="W80" i="1"/>
  <c r="X80" i="1"/>
  <c r="AP80" i="1"/>
  <c r="AQ80" i="1"/>
  <c r="AR80" i="1"/>
  <c r="AS80" i="1"/>
  <c r="AT80" i="1"/>
  <c r="AU80" i="1"/>
  <c r="AV80" i="1"/>
  <c r="BG80" i="1"/>
  <c r="CI80" i="1"/>
  <c r="C81" i="1"/>
  <c r="W81" i="1"/>
  <c r="X81" i="1"/>
  <c r="AP81" i="1"/>
  <c r="AQ81" i="1"/>
  <c r="AR81" i="1"/>
  <c r="AS81" i="1"/>
  <c r="AT81" i="1"/>
  <c r="AU81" i="1"/>
  <c r="AV81" i="1"/>
  <c r="BG81" i="1"/>
  <c r="CI81" i="1"/>
  <c r="C82" i="1"/>
  <c r="W82" i="1"/>
  <c r="X82" i="1"/>
  <c r="AP82" i="1"/>
  <c r="AQ82" i="1"/>
  <c r="AR82" i="1"/>
  <c r="AS82" i="1"/>
  <c r="AT82" i="1"/>
  <c r="AU82" i="1"/>
  <c r="AV82" i="1"/>
  <c r="C83" i="1"/>
  <c r="W83" i="1"/>
  <c r="X83" i="1"/>
  <c r="AP83" i="1"/>
  <c r="AQ83" i="1"/>
  <c r="AR83" i="1"/>
  <c r="AS83" i="1"/>
  <c r="AT83" i="1"/>
  <c r="AU83" i="1"/>
  <c r="AV83" i="1"/>
  <c r="BG83" i="1"/>
  <c r="CI83" i="1"/>
  <c r="C84" i="1"/>
  <c r="W84" i="1"/>
  <c r="X84" i="1"/>
  <c r="AP84" i="1"/>
  <c r="AQ84" i="1"/>
  <c r="AR84" i="1"/>
  <c r="AS84" i="1"/>
  <c r="AT84" i="1"/>
  <c r="AU84" i="1"/>
  <c r="AV84" i="1"/>
  <c r="CI84" i="1"/>
  <c r="C85" i="1"/>
  <c r="W85" i="1"/>
  <c r="X85" i="1"/>
  <c r="AP85" i="1"/>
  <c r="AQ85" i="1"/>
  <c r="AR85" i="1"/>
  <c r="AS85" i="1"/>
  <c r="AT85" i="1"/>
  <c r="AU85" i="1"/>
  <c r="AV85" i="1"/>
  <c r="BG85" i="1"/>
  <c r="CI85" i="1"/>
  <c r="C86" i="1"/>
  <c r="W86" i="1"/>
  <c r="X86" i="1"/>
  <c r="AP86" i="1"/>
  <c r="AQ86" i="1"/>
  <c r="AR86" i="1"/>
  <c r="AS86" i="1"/>
  <c r="AT86" i="1"/>
  <c r="AU86" i="1"/>
  <c r="AV86" i="1"/>
  <c r="BG86" i="1"/>
  <c r="CI86" i="1"/>
  <c r="C87" i="1"/>
  <c r="W87" i="1"/>
  <c r="X87" i="1"/>
  <c r="AP87" i="1"/>
  <c r="AQ87" i="1"/>
  <c r="AR87" i="1"/>
  <c r="AS87" i="1"/>
  <c r="AT87" i="1"/>
  <c r="AU87" i="1"/>
  <c r="AV87" i="1"/>
  <c r="BG87" i="1"/>
  <c r="CI87" i="1"/>
  <c r="C88" i="1"/>
  <c r="W88" i="1"/>
  <c r="X88" i="1"/>
  <c r="AP88" i="1"/>
  <c r="AQ88" i="1"/>
  <c r="AS88" i="1"/>
  <c r="AT88" i="1"/>
  <c r="C89" i="1"/>
  <c r="W89" i="1"/>
  <c r="X89" i="1"/>
  <c r="AP89" i="1"/>
  <c r="AQ89" i="1"/>
  <c r="AR89" i="1"/>
  <c r="AS89" i="1"/>
  <c r="AT89" i="1"/>
  <c r="AU89" i="1"/>
  <c r="AV89" i="1"/>
  <c r="CI89" i="1"/>
  <c r="C90" i="1"/>
  <c r="W90" i="1"/>
  <c r="X90" i="1"/>
  <c r="AP90" i="1"/>
  <c r="AQ90" i="1"/>
  <c r="AR90" i="1"/>
  <c r="AS90" i="1"/>
  <c r="AT90" i="1"/>
  <c r="AU90" i="1"/>
  <c r="AV90" i="1"/>
  <c r="BG90" i="1"/>
  <c r="CI90" i="1"/>
  <c r="C91" i="1"/>
  <c r="W91" i="1"/>
  <c r="X91" i="1"/>
  <c r="AP91" i="1"/>
  <c r="AQ91" i="1"/>
  <c r="AR91" i="1"/>
  <c r="AS91" i="1"/>
  <c r="AT91" i="1"/>
  <c r="AU91" i="1"/>
  <c r="AV91" i="1"/>
  <c r="C92" i="1"/>
  <c r="W92" i="1"/>
  <c r="X92" i="1"/>
  <c r="AP92" i="1"/>
  <c r="AQ92" i="1"/>
  <c r="AS92" i="1"/>
  <c r="AT92" i="1"/>
  <c r="AU92" i="1"/>
  <c r="AV92" i="1"/>
  <c r="C93" i="1"/>
  <c r="W93" i="1"/>
  <c r="X93" i="1"/>
  <c r="AP93" i="1"/>
  <c r="AQ93" i="1"/>
  <c r="AS93" i="1"/>
  <c r="AT93" i="1"/>
  <c r="C94" i="1"/>
  <c r="W94" i="1"/>
  <c r="X94" i="1"/>
  <c r="AP94" i="1"/>
  <c r="AQ94" i="1"/>
  <c r="AS94" i="1"/>
  <c r="AT94" i="1"/>
  <c r="C95" i="1"/>
  <c r="W95" i="1"/>
  <c r="X95" i="1"/>
  <c r="AP95" i="1"/>
  <c r="AQ95" i="1"/>
  <c r="AS95" i="1"/>
  <c r="AT95" i="1"/>
  <c r="C96" i="1"/>
  <c r="W96" i="1"/>
  <c r="X96" i="1"/>
  <c r="AP96" i="1"/>
  <c r="AQ96" i="1"/>
  <c r="AR96" i="1"/>
  <c r="AS96" i="1"/>
  <c r="AT96" i="1"/>
  <c r="AU96" i="1"/>
  <c r="AV96" i="1"/>
  <c r="BG96" i="1"/>
  <c r="CI96" i="1"/>
  <c r="C97" i="1"/>
  <c r="W97" i="1"/>
  <c r="X97" i="1"/>
  <c r="AP97" i="1"/>
  <c r="AQ97" i="1"/>
  <c r="AS97" i="1"/>
  <c r="AT97" i="1"/>
  <c r="C98" i="1"/>
  <c r="W98" i="1"/>
  <c r="X98" i="1"/>
  <c r="AP98" i="1"/>
  <c r="AQ98" i="1"/>
  <c r="AR98" i="1"/>
  <c r="AS98" i="1"/>
  <c r="AT98" i="1"/>
  <c r="AU98" i="1"/>
  <c r="AV98" i="1"/>
  <c r="BG98" i="1"/>
  <c r="CI98" i="1"/>
  <c r="C99" i="1"/>
  <c r="W99" i="1"/>
  <c r="X99" i="1"/>
  <c r="AP99" i="1"/>
  <c r="AQ99" i="1"/>
  <c r="AR99" i="1"/>
  <c r="AS99" i="1"/>
  <c r="AT99" i="1"/>
  <c r="AU99" i="1"/>
  <c r="AV99" i="1"/>
  <c r="BG99" i="1"/>
  <c r="CI99" i="1"/>
  <c r="C100" i="1"/>
  <c r="W100" i="1"/>
  <c r="X100" i="1"/>
  <c r="AP100" i="1"/>
  <c r="AQ100" i="1"/>
  <c r="AR100" i="1"/>
  <c r="AS100" i="1"/>
  <c r="AT100" i="1"/>
  <c r="AU100" i="1"/>
  <c r="AV100" i="1"/>
  <c r="CI100" i="1"/>
  <c r="C101" i="1"/>
  <c r="W101" i="1"/>
  <c r="X101" i="1"/>
  <c r="AP101" i="1"/>
  <c r="AQ101" i="1"/>
  <c r="AS101" i="1"/>
  <c r="AT101" i="1"/>
  <c r="C102" i="1"/>
  <c r="W102" i="1"/>
  <c r="X102" i="1"/>
  <c r="AP102" i="1"/>
  <c r="AQ102" i="1"/>
  <c r="AR102" i="1"/>
  <c r="AS102" i="1"/>
  <c r="AT102" i="1"/>
  <c r="AU102" i="1"/>
  <c r="AV102" i="1"/>
  <c r="CI102" i="1"/>
  <c r="C103" i="1"/>
  <c r="W103" i="1"/>
  <c r="X103" i="1"/>
  <c r="AP103" i="1"/>
  <c r="AQ103" i="1"/>
  <c r="AS103" i="1"/>
  <c r="AT103" i="1"/>
</calcChain>
</file>

<file path=xl/sharedStrings.xml><?xml version="1.0" encoding="utf-8"?>
<sst xmlns="http://schemas.openxmlformats.org/spreadsheetml/2006/main" count="3435" uniqueCount="938">
  <si>
    <t>ID работника</t>
  </si>
  <si>
    <t>ID персонала</t>
  </si>
  <si>
    <t>ИИН</t>
  </si>
  <si>
    <t>Фамилия</t>
  </si>
  <si>
    <t>Имя</t>
  </si>
  <si>
    <t>Отчество</t>
  </si>
  <si>
    <t>Дата рождения</t>
  </si>
  <si>
    <t>Причина отсутствия ИИН [7303]</t>
  </si>
  <si>
    <t>Пол [199]</t>
  </si>
  <si>
    <t>Гражданство [6417]</t>
  </si>
  <si>
    <t>Национальность [5703]</t>
  </si>
  <si>
    <t>Номер документа, удостоверяющего личность [7299]</t>
  </si>
  <si>
    <t>Дата выдачи документа, удостоверяющего личность [7300]</t>
  </si>
  <si>
    <t>Вложение (прикрепите скан копию документа, удостоверяющего личность: 1-я скан копия, страница с паспорта, где ФИО) [7301]</t>
  </si>
  <si>
    <t>Вложение (прикрепите скан копию документа, удостоверяющего личность: 2-я скан копия, страница с печатью пограничной службы) [7302]</t>
  </si>
  <si>
    <t>Воинское звание [241]</t>
  </si>
  <si>
    <t>Инвалид [7066]</t>
  </si>
  <si>
    <t>Группа инвалидности [7067]</t>
  </si>
  <si>
    <t>Причина инвалидности [7068]</t>
  </si>
  <si>
    <t>Срок инвалидности [7069]</t>
  </si>
  <si>
    <t>Дата установления инвалидности [7185]</t>
  </si>
  <si>
    <t>Срок инвалидности  до [7070]</t>
  </si>
  <si>
    <t>Дата принятия на работу [233]</t>
  </si>
  <si>
    <t>Номер приказа о принятии на работу [6746]</t>
  </si>
  <si>
    <t>Приказ о приеме на работу [order_hire]</t>
  </si>
  <si>
    <t>Принят на работу [235]</t>
  </si>
  <si>
    <t>Срок трудового договора [6375]</t>
  </si>
  <si>
    <t>Справка об отсутствии медицинских противопоказании [reference_non_medical_contraindications]</t>
  </si>
  <si>
    <t>Справка об отсутствии в учете психиатрическом и (или) наркологическом диспансере [reference_non_psychiatric_narcology]</t>
  </si>
  <si>
    <t>Справка о несудимости [reference_non_conviction]</t>
  </si>
  <si>
    <t>Текущий статус сотрудника [6977]</t>
  </si>
  <si>
    <t>Должность [6649]</t>
  </si>
  <si>
    <t>Ставка основной должности [6659]</t>
  </si>
  <si>
    <t>Сотрудник [230]</t>
  </si>
  <si>
    <t>Академическая, ученая степень [6798]</t>
  </si>
  <si>
    <t>Образование [197]</t>
  </si>
  <si>
    <t>Прошел педагогическую переподготовку на базе ВУЗа [8818]</t>
  </si>
  <si>
    <t>Диплом [teacher_diploma]</t>
  </si>
  <si>
    <t>Заключение аттестации [conclusion_of_certification]</t>
  </si>
  <si>
    <t>Признак образования [229]</t>
  </si>
  <si>
    <t>Специальное дефектологическое образование [6279]</t>
  </si>
  <si>
    <t>Общий  стаж работы  на момент принятия на работу [7003]</t>
  </si>
  <si>
    <t>Общий  стаж работы на текущий момент [7061]</t>
  </si>
  <si>
    <t>Стаж педагогической работы на текущий момент [7004]</t>
  </si>
  <si>
    <t>Стаж педагогической работы на текущий момент [7062]</t>
  </si>
  <si>
    <t>Общий стаж работы в данной организации [7180]</t>
  </si>
  <si>
    <t>Электронный адрес (Е-mail) [6430]</t>
  </si>
  <si>
    <t>Сотовый телефон (номер) [6431]</t>
  </si>
  <si>
    <t>Категория [198]</t>
  </si>
  <si>
    <t>Год подтверждения либо присвоения категории [6751]</t>
  </si>
  <si>
    <t>Категория руководящей должности [management_position_category]</t>
  </si>
  <si>
    <t>Язык обучения [5579]</t>
  </si>
  <si>
    <t>Мониторинг уровня усвоения ТУПр, % [monitoring_level] / стартовый [start]</t>
  </si>
  <si>
    <t>Мониторинг уровня усвоения ТУПр, % [monitoring_level] / промежуточный [middle]</t>
  </si>
  <si>
    <t>Мониторинг уровня усвоения ТУПр, % [monitoring_level] / итоговый [last]</t>
  </si>
  <si>
    <t>Ведет предмет (основная нагрузка)* [6658]</t>
  </si>
  <si>
    <t>Соответствие по основному предмету [6660]</t>
  </si>
  <si>
    <t>Ставка основного предмета [6661]</t>
  </si>
  <si>
    <t>Количество часов в неделю [6662]</t>
  </si>
  <si>
    <t>Дополнительная должность [6749] / Должность [76298]</t>
  </si>
  <si>
    <t>Дополнительная должность [6749] / Ставка [76299]</t>
  </si>
  <si>
    <t>Категория дополнительной должности [additional_post_category]</t>
  </si>
  <si>
    <t>Год подтверждения либо присвоения категории дополнительной должности [additional_category_confirmation]</t>
  </si>
  <si>
    <t>Ведет предмет (дополнительная нагрузка) [6285] / Предмет [75742]</t>
  </si>
  <si>
    <t>Ведет предмет (дополнительная нагрузка) [6285] / Ставка [75963]</t>
  </si>
  <si>
    <t>Наличие компьютерных/иных устройств дома [7215]</t>
  </si>
  <si>
    <t>Инвентарный номер [7236]</t>
  </si>
  <si>
    <t>Источник приобретения [7237]</t>
  </si>
  <si>
    <t>Год приобретения [7238]</t>
  </si>
  <si>
    <t>Наличие доступа к Интернету дома [7216]</t>
  </si>
  <si>
    <t>Обеспечен [7242]</t>
  </si>
  <si>
    <t>Серийный номер модема/роутера [7243]</t>
  </si>
  <si>
    <t>Прошел(-а) курсы по повышению квалификации [5736] / Место прохождения [75139]</t>
  </si>
  <si>
    <t>Прошел(-а) курсы по повышению квалификации [5736] / Предмет [75163]</t>
  </si>
  <si>
    <t>Прошел(-а) курсы по повышению квалификации [5736] / Программа обучения [76665]</t>
  </si>
  <si>
    <t>Прошел(-а) курсы по повышению квалификации [5736] / Форма прохождения [76666]</t>
  </si>
  <si>
    <t>Прошел(-а) курсы по повышению квалификации [5736] / Язык обучения [76667]</t>
  </si>
  <si>
    <t>Прошел(-а) курсы по повышению квалификации [5736] / Продолжительность курса, часы [76668]</t>
  </si>
  <si>
    <t>Прошел(-а) курсы по повышению квалификации [5736] / Дата начала курса [76669]</t>
  </si>
  <si>
    <t>Прошел(-а) курсы по повышению квалификации [5736] / Дата завершения [76670]</t>
  </si>
  <si>
    <t>Прошел(-а) курсы по повышению квалификации [5736] / № сертификата (диплома, грамоты) [76671]</t>
  </si>
  <si>
    <t>Преподает факультативный предмет [7051]</t>
  </si>
  <si>
    <t>В каких классах преподает [225]</t>
  </si>
  <si>
    <t>В каких классах больше часов [6380]</t>
  </si>
  <si>
    <t>Ведет предмет по дисциплинам естественно-математического цикла на английском языке [5680] / Предмет [74932]</t>
  </si>
  <si>
    <t>Ведет предмет по дисциплинам естественно-математического цикла на английском языке [5680] / Получает доплату [76664]</t>
  </si>
  <si>
    <t>Педагогический стаж по преподаванию на английском языке [5681]</t>
  </si>
  <si>
    <t>Учитель иностранного языка, прибывший из-за рубежа [6013]</t>
  </si>
  <si>
    <t>Учитель классов с вечерней формой обучения [243]</t>
  </si>
  <si>
    <t>Наличие классного руководства [7050]</t>
  </si>
  <si>
    <t>Документ, о прохождении курсов по повышению квалификации [training_courses]</t>
  </si>
  <si>
    <t>Уровень владения английским языком [425]</t>
  </si>
  <si>
    <t>Преподает или ведет воспитательный процесс детям с особыми образовательными потребностями [7063]</t>
  </si>
  <si>
    <t>Дата расторжения/прекращения трудового договора [234]</t>
  </si>
  <si>
    <t>Номер приказа о расторжении/прекращении трудового договора [6750]</t>
  </si>
  <si>
    <t>Причина расторжения/прекращения трудового договора [236]</t>
  </si>
  <si>
    <t>Приказ о расторжении/прекращении трудового договора [order_fire]</t>
  </si>
  <si>
    <t>Учебный год [ed_year_pers]</t>
  </si>
  <si>
    <t>Статус тестируемого [status_who_tested]</t>
  </si>
  <si>
    <t>Полученный балл [Test_score]</t>
  </si>
  <si>
    <t>Дата тестирования [Test_date]</t>
  </si>
  <si>
    <t>Номер приказа [order_number]</t>
  </si>
  <si>
    <t>Дата приказа [order_date]</t>
  </si>
  <si>
    <t>КАЙНАРОВА</t>
  </si>
  <si>
    <t>АКМАРАЛ</t>
  </si>
  <si>
    <t>РЫСБЕККЫЗЫ</t>
  </si>
  <si>
    <t>женский</t>
  </si>
  <si>
    <t>КАЗАХСТАН</t>
  </si>
  <si>
    <t>Казахи</t>
  </si>
  <si>
    <t>невоеннообязан</t>
  </si>
  <si>
    <t>другого района, города данной области</t>
  </si>
  <si>
    <t>неопределенный</t>
  </si>
  <si>
    <t>находится в декретном отпуске</t>
  </si>
  <si>
    <t>учитель/преподаватель</t>
  </si>
  <si>
    <t>штатный</t>
  </si>
  <si>
    <t>не имеет степени</t>
  </si>
  <si>
    <t>Высшее (педагогическое)</t>
  </si>
  <si>
    <t>педагогическое</t>
  </si>
  <si>
    <t>нет</t>
  </si>
  <si>
    <t>педагог</t>
  </si>
  <si>
    <t>[казахский, русский]</t>
  </si>
  <si>
    <t>Биология</t>
  </si>
  <si>
    <t>по специальности, полученной в ВУЗе</t>
  </si>
  <si>
    <t>АО НЦПК «Өрлеу» (Региональные филиалы АО  НЦПК«Өрлеу»)</t>
  </si>
  <si>
    <t>В рамках обновления содержания среднего образования</t>
  </si>
  <si>
    <t>очная</t>
  </si>
  <si>
    <t>казахский</t>
  </si>
  <si>
    <t>2019-04-15T00:00:00</t>
  </si>
  <si>
    <t>2019-04-26T00:00:00</t>
  </si>
  <si>
    <t>Экология</t>
  </si>
  <si>
    <t>[]</t>
  </si>
  <si>
    <t>Да</t>
  </si>
  <si>
    <t>Elementary</t>
  </si>
  <si>
    <t>СМАИЛОВА</t>
  </si>
  <si>
    <t>АЙГУЛЬ</t>
  </si>
  <si>
    <t>БАЙЗУЛЛАЕВНА</t>
  </si>
  <si>
    <t>Нет</t>
  </si>
  <si>
    <t>из другой организации образования</t>
  </si>
  <si>
    <t>работает в данной организации</t>
  </si>
  <si>
    <t>педагог-эксперт</t>
  </si>
  <si>
    <t>Присвоено в 2021 году</t>
  </si>
  <si>
    <t>Казахский язык и литература</t>
  </si>
  <si>
    <t>смартфон</t>
  </si>
  <si>
    <t>2016-11-07T00:00:00</t>
  </si>
  <si>
    <t>2016-11-25T00:00:00</t>
  </si>
  <si>
    <t>[10 класс, 9 класс, 8 класс]</t>
  </si>
  <si>
    <t>5-11(12)</t>
  </si>
  <si>
    <t>ЖАКУПОВА</t>
  </si>
  <si>
    <t>АЛИЯ</t>
  </si>
  <si>
    <t>БАЛТАБАЕВНА</t>
  </si>
  <si>
    <t>учитель-логопед</t>
  </si>
  <si>
    <t>да</t>
  </si>
  <si>
    <t>педагог-модератор</t>
  </si>
  <si>
    <t>Присвоено в 2019 году</t>
  </si>
  <si>
    <t>ноутбук (личный)</t>
  </si>
  <si>
    <t>РГКП «Республиканский учебно-методический центр дополнительного образования» МОН РК, РГКП «Республиканский учебно-методический центр дополнительного образования» МОН РК, Другие организации , Другие организации , Другие организации</t>
  </si>
  <si>
    <t>Логопедия, Логопедия, Логопедия, Формирование произношения и развитие слухового восприятия, Коррекция недостатков развития речи</t>
  </si>
  <si>
    <t>Инклюзивное образование, Инклюзивное образование, Инновационные методы обучения , Инклюзивное образование, Инклюзивное образование</t>
  </si>
  <si>
    <t>очная, очная, очная, дистанционная, дистанционная</t>
  </si>
  <si>
    <t>русский, русский, русский, казахский, русский</t>
  </si>
  <si>
    <t>120, 72, 72, 8, 72</t>
  </si>
  <si>
    <t>2019-10-28T00:00:00, 2019-06-20T00:00:00, 2018-11-02T00:00:00, 2022-01-14T00:00:00, 2021-09-17T00:00:00</t>
  </si>
  <si>
    <t>2019-11-12T00:00:00, 2019-06-30T00:00:00, 2018-11-12T00:00:00, 2022-01-14T00:00:00, 2021-09-24T00:00:00</t>
  </si>
  <si>
    <t>№113369, №100261, 091917, 1288, 011534</t>
  </si>
  <si>
    <t>не преподает</t>
  </si>
  <si>
    <t>САДЫКОВА</t>
  </si>
  <si>
    <t>НАЗЕРКЕ</t>
  </si>
  <si>
    <t>БОЛАТОВНА</t>
  </si>
  <si>
    <t>из педагогического ВУЗа</t>
  </si>
  <si>
    <t>педагог-психолог</t>
  </si>
  <si>
    <t>[русский, казахский]</t>
  </si>
  <si>
    <t>АО НЦПК «Өрлеу» (Региональные филиалы АО  НЦПК«Өрлеу»), АО НЦПК «Өрлеу» (Региональные филиалы АО  НЦПК«Өрлеу»)</t>
  </si>
  <si>
    <t>Самопознание, Обязательные индивидуальные и групповые коррекционные занятия по восполнению пробелов в знаниях</t>
  </si>
  <si>
    <t>Профессиональная компетентность , Инклюзивное образование</t>
  </si>
  <si>
    <t>очная, очная</t>
  </si>
  <si>
    <t>казахский, казахский</t>
  </si>
  <si>
    <t>72, 72</t>
  </si>
  <si>
    <t>2017-06-05T00:00:00, 2018-11-12T00:00:00</t>
  </si>
  <si>
    <t>2017-06-16T00:00:00, 2018-11-16T00:00:00</t>
  </si>
  <si>
    <t>0540560, 021645</t>
  </si>
  <si>
    <t>РАШИДИНОВА</t>
  </si>
  <si>
    <t>АКЕРКЕ</t>
  </si>
  <si>
    <t>КАЙРАТКЫЗЫ</t>
  </si>
  <si>
    <t>[казахский]</t>
  </si>
  <si>
    <t>Английский язык</t>
  </si>
  <si>
    <t>АО НЦПК «Өрлеу» (Региональные филиалы АО  НЦПК«Өрлеу»), Другие организации</t>
  </si>
  <si>
    <t>Английский язык, Английский язык</t>
  </si>
  <si>
    <t>В рамках обновления содержания среднего образования, Инклюзивное образование</t>
  </si>
  <si>
    <t>120, 120</t>
  </si>
  <si>
    <t>2018-07-02T00:00:00, 2019-10-28T00:00:00</t>
  </si>
  <si>
    <t>2018-07-20T00:00:00, 2019-11-12T00:00:00</t>
  </si>
  <si>
    <t>010328, нет</t>
  </si>
  <si>
    <t>[3 класс, 7 класс, 6 класс, 5 класс, 9 класс, 8 класс, 10 класс, 4 класс]</t>
  </si>
  <si>
    <t>Proficiency</t>
  </si>
  <si>
    <t>для детей с задержкой психического развития</t>
  </si>
  <si>
    <t>ТОКАРЧИК</t>
  </si>
  <si>
    <t>АЛЕНА</t>
  </si>
  <si>
    <t>ЮРЬЕВНА</t>
  </si>
  <si>
    <t>Русские</t>
  </si>
  <si>
    <t>из педагогического колледжа</t>
  </si>
  <si>
    <t>учитель начальных классов</t>
  </si>
  <si>
    <t>Техническое и профессиональное (педагогическое)</t>
  </si>
  <si>
    <t>Присвоено в 2020 году</t>
  </si>
  <si>
    <t>заместитель руководителя</t>
  </si>
  <si>
    <t>[русский]</t>
  </si>
  <si>
    <t>начальное обучение</t>
  </si>
  <si>
    <t>по специальности, полученной в организации ТиПО</t>
  </si>
  <si>
    <t>заместитель директора по учебной работе</t>
  </si>
  <si>
    <t>начальное обучение, начальное обучение</t>
  </si>
  <si>
    <t>русский, русский</t>
  </si>
  <si>
    <t>2019-08-19T00:00:00, 2019-10-28T00:00:00</t>
  </si>
  <si>
    <t>2019-09-06T00:00:00, 2019-11-12T00:00:00</t>
  </si>
  <si>
    <t>021536, нет</t>
  </si>
  <si>
    <t>[1 класс]</t>
  </si>
  <si>
    <t>ОСПАНОВА</t>
  </si>
  <si>
    <t>ДАМЕТКЕН</t>
  </si>
  <si>
    <t>КАМЗЕВНА</t>
  </si>
  <si>
    <t>директор</t>
  </si>
  <si>
    <t>магистр</t>
  </si>
  <si>
    <t>Послевузовское образование (магистр, доктор PhD)</t>
  </si>
  <si>
    <t>педагог-исследователь</t>
  </si>
  <si>
    <t>Присвоено в 2023 году</t>
  </si>
  <si>
    <t>руководитель</t>
  </si>
  <si>
    <t>начальное обучение, Предметно-практическая деятельность</t>
  </si>
  <si>
    <t>В рамках обновления содержания среднего образования, Информационно-коммуникационные технологии (ИКТ)</t>
  </si>
  <si>
    <t>120, 72</t>
  </si>
  <si>
    <t>2018-05-14T00:00:00, 2017-03-06T00:00:00</t>
  </si>
  <si>
    <t>2018-06-01T00:00:00, 2017-03-17T00:00:00</t>
  </si>
  <si>
    <t>004700, 111542</t>
  </si>
  <si>
    <t>[2 класс]</t>
  </si>
  <si>
    <t>для детей с нарушением интеллекта</t>
  </si>
  <si>
    <t>ТУРСУНБАЕВА</t>
  </si>
  <si>
    <t>АЛТЫН</t>
  </si>
  <si>
    <t>Казахский язык и литература, Предметно-практическая деятельность</t>
  </si>
  <si>
    <t>2017-11-20T00:00:00, 2016-11-21T00:00:00</t>
  </si>
  <si>
    <t>2017-12-08T00:00:00, 2016-12-02T00:00:00</t>
  </si>
  <si>
    <t>007323, 100256</t>
  </si>
  <si>
    <t>[7 класс, 11 класс]</t>
  </si>
  <si>
    <t>КАЙДАРОВА</t>
  </si>
  <si>
    <t>САРА</t>
  </si>
  <si>
    <t>ЕРМЕКОВНА</t>
  </si>
  <si>
    <t>АО НЦПК «Өрлеу» (Региональные филиалы АО  НЦПК«Өрлеу»), Другие организации , АО НЦПК «Өрлеу» (Региональные филиалы АО  НЦПК«Өрлеу»), Другие организации , Другие организации</t>
  </si>
  <si>
    <t>Казахский язык и литература, Казахский язык и литература, Казахский язык и литература, Казахский язык и литература, Казахский язык и литература</t>
  </si>
  <si>
    <t>В рамках обновления содержания среднего образования, Инклюзивное образование, Предметные курсы/предмет, Предметные курсы/предмет, Использование цифровых ресурсов в преподавании предметов</t>
  </si>
  <si>
    <t>очная, очная, очная, очная, дистанционная</t>
  </si>
  <si>
    <t>казахский, русский, казахский, казахский, казахский</t>
  </si>
  <si>
    <t>120, 120, 80, 80, 16</t>
  </si>
  <si>
    <t>2019-02-18T00:00:00, 2019-10-28T00:00:00, 2020-05-08T00:00:00, 2021-04-13T00:00:00, 2021-08-24T00:00:00</t>
  </si>
  <si>
    <t>2019-03-07T00:00:00, 2019-11-12T00:00:00, 2020-05-22T00:00:00, 2021-04-27T00:00:00, 2021-08-24T00:00:00</t>
  </si>
  <si>
    <t>003810, нет, 0338681, 001135, 13873</t>
  </si>
  <si>
    <t>[11 класс, 10 класс, 9 класс, 6 класс]</t>
  </si>
  <si>
    <t>МАНТАРИДИ</t>
  </si>
  <si>
    <t>ТАТЬЯНА</t>
  </si>
  <si>
    <t>ВЛАДИМИРОВНА</t>
  </si>
  <si>
    <t>Украинцы</t>
  </si>
  <si>
    <t>инспектор по профориентационной работе</t>
  </si>
  <si>
    <t>стационарный компьютер (личный)</t>
  </si>
  <si>
    <t>АО НЦПК «Өрлеу» (Региональные филиалы АО  НЦПК«Өрлеу»), Другие организации высшего и послевузовского образования, РГКП «Республиканский учебно-методический центр дополнительного образования» МОН РК, Другие организации</t>
  </si>
  <si>
    <t>Самопознание, другие, Психология, другие</t>
  </si>
  <si>
    <t>Предметные курсы/предмет, Для педагогов в системе специального и инклюзивного образования, Инклюзивное образование, Другие программы</t>
  </si>
  <si>
    <t>очная, очная, очная, очная</t>
  </si>
  <si>
    <t>русский, русский, русский, русский</t>
  </si>
  <si>
    <t>72, 80, 120, 8</t>
  </si>
  <si>
    <t>2018-10-01T00:00:00, 2018-09-03T00:00:00, 2019-10-28T00:00:00, 2023-02-22T00:00:00</t>
  </si>
  <si>
    <t>2018-10-12T00:00:00, 2018-09-17T00:00:00, 2019-11-12T00:00:00, 2023-02-22T00:00:00</t>
  </si>
  <si>
    <t>0331001, 000159, №113368, 13851</t>
  </si>
  <si>
    <t>[6 класс, 9 класс, 7 класс, 8 класс, 10 класс]</t>
  </si>
  <si>
    <t>НУРМУХАНБЕТОВА</t>
  </si>
  <si>
    <t>АЛИНА</t>
  </si>
  <si>
    <t>АМАНЖОЛОВНА</t>
  </si>
  <si>
    <t>География</t>
  </si>
  <si>
    <t>Центр педагогического мастерства АОО «НИШ», Другие организации</t>
  </si>
  <si>
    <t>География, География</t>
  </si>
  <si>
    <t>80, 120</t>
  </si>
  <si>
    <t>2018-07-13T00:00:00, 2019-11-12T00:00:00</t>
  </si>
  <si>
    <t>004871, нет</t>
  </si>
  <si>
    <t>БАЗАЙКИНА</t>
  </si>
  <si>
    <t>ИРИНА</t>
  </si>
  <si>
    <t>другие, начальное обучение</t>
  </si>
  <si>
    <t>В рамках обновленного содержания образования/ предмет, Инклюзивное образование</t>
  </si>
  <si>
    <t>72, 120</t>
  </si>
  <si>
    <t>2019-07-15T00:00:00, 2019-10-28T00:00:00</t>
  </si>
  <si>
    <t>2019-07-25T00:00:00, 2019-11-12T00:00:00</t>
  </si>
  <si>
    <t>003459, нет</t>
  </si>
  <si>
    <t>ШАКЕНОВА</t>
  </si>
  <si>
    <t>АЛТЫНБЕКОВНА</t>
  </si>
  <si>
    <t>Казахский язык и литература, Казахский язык и литература</t>
  </si>
  <si>
    <t>2018-04-02T00:00:00, 2019-11-28T00:00:00</t>
  </si>
  <si>
    <t>2018-04-20T00:00:00, 2019-11-12T00:00:00</t>
  </si>
  <si>
    <t>002135, нет</t>
  </si>
  <si>
    <t>[2 класс, 4 класс, 3 класс, 1 класс, 8 класс, 6 класс]</t>
  </si>
  <si>
    <t>БОРИСОВА</t>
  </si>
  <si>
    <t>ВАЛЕНТИНА</t>
  </si>
  <si>
    <t>ПАВЛОВНА</t>
  </si>
  <si>
    <t>Русский язык и литература</t>
  </si>
  <si>
    <t>Русский язык и литература, Русский язык и литература</t>
  </si>
  <si>
    <t>дистанционная, очная</t>
  </si>
  <si>
    <t>2018-10-15T00:00:00, 2019-10-28T00:00:00</t>
  </si>
  <si>
    <t>2018-10-26T00:00:00, 2019-11-12T00:00:00</t>
  </si>
  <si>
    <t>0249839, нет</t>
  </si>
  <si>
    <t>[9 класс]</t>
  </si>
  <si>
    <t>ГОНЧАРОВА</t>
  </si>
  <si>
    <t>НИНА</t>
  </si>
  <si>
    <t>ОСКАРОВНА</t>
  </si>
  <si>
    <t>Присвоено в 2018 году</t>
  </si>
  <si>
    <t>2017-05-15T00:00:00, 2016-11-21T00:00:00</t>
  </si>
  <si>
    <t>2017-06-02T00:00:00, 2016-12-02T00:00:00</t>
  </si>
  <si>
    <t>005721, 100326</t>
  </si>
  <si>
    <t>[3 класс]</t>
  </si>
  <si>
    <t>ГРИХ</t>
  </si>
  <si>
    <t>ЛЮДМИЛА</t>
  </si>
  <si>
    <t>ВАСИЛЬЕВНА</t>
  </si>
  <si>
    <t>другой области Республики</t>
  </si>
  <si>
    <t>Физика/Астрономия</t>
  </si>
  <si>
    <t>АО НЦПК «Өрлеу» (Региональные филиалы АО  НЦПК«Өрлеу»), АО НЦПК «Өрлеу» (Региональные филиалы АО  НЦПК«Өрлеу»), Другие организации</t>
  </si>
  <si>
    <t>Физика/Астрономия , Математика/алгебра/геометрия, Физика/Астрономия</t>
  </si>
  <si>
    <t>В рамках обновления содержания среднего образования, Информационно-коммуникационные технологии (ИКТ), Менеджмент в сфере образования</t>
  </si>
  <si>
    <t>очная, очная, очная</t>
  </si>
  <si>
    <t>русский, русский, русский</t>
  </si>
  <si>
    <t>80, 72, 72</t>
  </si>
  <si>
    <t>2019-02-11T00:00:00, 2018-09-04T00:00:00, 2021-10-04T00:00:00</t>
  </si>
  <si>
    <t>2019-02-22T00:00:00, 2018-09-15T00:00:00, 2021-10-16T00:00:00</t>
  </si>
  <si>
    <t>003194, 224, 211001</t>
  </si>
  <si>
    <t>[7 класс, 8 класс, 9 класс, 10 класс, 11 класс, 6 класс]</t>
  </si>
  <si>
    <t>КАКИМОВА</t>
  </si>
  <si>
    <t>НУРБАНУ</t>
  </si>
  <si>
    <t>ТЛЕУЛЕСОВНА</t>
  </si>
  <si>
    <t>Математика/алгебра/геометрия</t>
  </si>
  <si>
    <t>АО НЦПК «Өрлеу» (Региональные филиалы АО  НЦПК«Өрлеу»), АО НЦПК «Өрлеу» (Региональные филиалы АО  НЦПК«Өрлеу»), Другие организации , Курсы по обновленным программам, АО НЦПК «Өрлеу» (Региональные филиалы АО  НЦПК«Өрлеу»), АО НЦПК «Өрлеу» (Региональные филиалы АО  НЦПК«Өрлеу»), Другие организации , Другие организации , АО НЦПК «Өрлеу» (Региональные филиалы АО  НЦПК«Өрлеу»)</t>
  </si>
  <si>
    <t>Математика/алгебра/геометрия, Математика/алгебра/геометрия, Математика/алгебра/геометрия, Математика/алгебра/геометрия, Математика/алгебра/геометрия, Математика/алгебра/геометрия, Математика/алгебра/геометрия, Математика/алгебра/геометрия, Математика/алгебра/геометрия</t>
  </si>
  <si>
    <t>В рамках обновления содержания среднего образования, Информационно-коммуникационные технологии (ИКТ), Другие программы, Предметные курсы/предмет, Другие программы, Другие программы, Другие программы, В рамках обновленного содержания образования в системе специального и инклюзивного образования/предмет, Педагогическая компетентность: развитие и совершенствование</t>
  </si>
  <si>
    <t>очная, очная, очная, дистанционная, очная, очная, очная, очная, очная</t>
  </si>
  <si>
    <t>русский, русский, русский, русский, русский, русский, русский, русский, русский</t>
  </si>
  <si>
    <t>80, 72, 52, 56, 8, 24, 16, 72, 80</t>
  </si>
  <si>
    <t>2018-04-16T00:00:00, 2016-11-21T00:00:00, 2019-09-08T00:00:00, 2020-06-23T00:00:00, 2021-08-24T00:00:00, 2022-04-19T00:00:00, 2022-02-01T00:00:00, 2022-12-19T00:00:00, 2022-04-07T00:00:00</t>
  </si>
  <si>
    <t>2018-04-27T00:00:00, 2016-12-02T00:00:00, 2019-09-16T00:00:00, 2020-07-10T00:00:00, 2021-08-24T00:00:00, 2022-04-21T00:00:00, 2022-02-02T00:00:00, 2023-01-06T00:00:00, 2022-04-22T00:00:00</t>
  </si>
  <si>
    <t>007090, 100246, 381, 050е28b7, 12687, 036145, 22222abe1, 094518, 0483495</t>
  </si>
  <si>
    <t>[9 класс, 5 класс, 10 класс]</t>
  </si>
  <si>
    <t>ЛИТВИНЕНКО</t>
  </si>
  <si>
    <t>НАТАЛИЯ</t>
  </si>
  <si>
    <t>МИХАЙЛОВНА</t>
  </si>
  <si>
    <t>русский</t>
  </si>
  <si>
    <t>2018-06-11T00:00:00</t>
  </si>
  <si>
    <t>2018-06-29T00:00:00</t>
  </si>
  <si>
    <t>[7 класс, 9 класс, 11 класс, 6 класс]</t>
  </si>
  <si>
    <t>ОРЛОВА</t>
  </si>
  <si>
    <t>ЕЛЕНА</t>
  </si>
  <si>
    <t>АНАТОЛЬЕВНА</t>
  </si>
  <si>
    <t>АО НЦПК «Өрлеу» (Региональные филиалы АО  НЦПК«Өрлеу»), АО НЦПК «Өрлеу» (Региональные филиалы АО  НЦПК«Өрлеу»), Другие организации , Другие организации</t>
  </si>
  <si>
    <t>начальное обучение, начальное обучение, начальное обучение, начальное обучение</t>
  </si>
  <si>
    <t>В рамках обновления содержания среднего образования, Информационно-коммуникационные технологии (ИКТ), Инклюзивное образование, Инклюзивное образование</t>
  </si>
  <si>
    <t>120, 72, 120, 72</t>
  </si>
  <si>
    <t>2018-05-14T00:00:00, 2016-03-11T00:00:00, 2019-10-28T00:00:00, 2022-12-19T00:00:00</t>
  </si>
  <si>
    <t>2018-06-01T00:00:00, 2016-12-02T00:00:00, 2019-11-12T00:00:00, 2023-01-06T00:00:00</t>
  </si>
  <si>
    <t>002408, 110356, нет, 094520</t>
  </si>
  <si>
    <t>[4 класс]</t>
  </si>
  <si>
    <t>ПИЧУРИЧКО</t>
  </si>
  <si>
    <t>2018-05-14T00:00:00</t>
  </si>
  <si>
    <t>2018-06-01T00:00:00</t>
  </si>
  <si>
    <t>ЛУКАШЕНКО</t>
  </si>
  <si>
    <t>ВАЛЕРИЯ</t>
  </si>
  <si>
    <t>ЛЕОНИДОВНА</t>
  </si>
  <si>
    <t>Белорусы</t>
  </si>
  <si>
    <t>Вторая</t>
  </si>
  <si>
    <t>общее заболевание</t>
  </si>
  <si>
    <t>1 год</t>
  </si>
  <si>
    <t>из другой школы</t>
  </si>
  <si>
    <t>История</t>
  </si>
  <si>
    <t>Центр педагогического мастерства АОО «НИШ», АО НЦПК «Өрлеу» (Региональные филиалы АО  НЦПК«Өрлеу»), Другие организации</t>
  </si>
  <si>
    <t>История, История, История</t>
  </si>
  <si>
    <t>В рамках обновления содержания среднего образования, Информационно-коммуникационные технологии (ИКТ), Инклюзивное образование</t>
  </si>
  <si>
    <t>80, 72, 120</t>
  </si>
  <si>
    <t>2019-06-17T00:00:00, 2017-03-06T00:00:00, 2019-10-28T00:00:00</t>
  </si>
  <si>
    <t>2019-06-28T00:00:00, 2017-03-17T00:00:00, 2019-11-12T00:00:00</t>
  </si>
  <si>
    <t>001235, 111203, нет</t>
  </si>
  <si>
    <t>Религиоведение</t>
  </si>
  <si>
    <t>[9 класс, 10 класс, 6 класс, 11 класс]</t>
  </si>
  <si>
    <t>РУБАНОВА</t>
  </si>
  <si>
    <t>ЯКОВЛЕВНА</t>
  </si>
  <si>
    <t>начальное обучение, Предметно-практическая деятельность, начальное обучение</t>
  </si>
  <si>
    <t>120, 72, 120</t>
  </si>
  <si>
    <t>2018-03-26T00:00:00, 2016-11-21T00:00:00, 2019-10-28T00:00:00</t>
  </si>
  <si>
    <t>2018-04-13T00:00:00, 2016-12-02T00:00:00, 2019-11-12T00:00:00</t>
  </si>
  <si>
    <t>010468, 100325, нет</t>
  </si>
  <si>
    <t>Грамота (чтение, письмо, устная речь, дактильная речь)</t>
  </si>
  <si>
    <t>САРМАНОВА</t>
  </si>
  <si>
    <t>АЙКЫН</t>
  </si>
  <si>
    <t>МАКАМАДИЯРОВНА</t>
  </si>
  <si>
    <t>другой страны</t>
  </si>
  <si>
    <t>Подтверждено в 2023 году</t>
  </si>
  <si>
    <t>Художественный труд</t>
  </si>
  <si>
    <t>[1 класс, 5 класс, 9 класс, 7 класс, 6 класс, 8 класс]</t>
  </si>
  <si>
    <t>ЦЫБУЛЬСКАЯ</t>
  </si>
  <si>
    <t>АЛЕКСАНДРОВНА</t>
  </si>
  <si>
    <t>Информатика</t>
  </si>
  <si>
    <t>Технология</t>
  </si>
  <si>
    <t>Технология, Предметно-практическая деятельность</t>
  </si>
  <si>
    <t>80, 72</t>
  </si>
  <si>
    <t>2019-06-17T00:00:00, 2017-03-06T00:00:00</t>
  </si>
  <si>
    <t>2019-06-28T00:00:00, 2017-03-17T00:00:00</t>
  </si>
  <si>
    <t>007536, 111235</t>
  </si>
  <si>
    <t>[7 класс, 8 класс, 9 класс, 11 класс, 10 класс, 6 класс, 5 класс, 3 класс]</t>
  </si>
  <si>
    <t>ШИТОВА</t>
  </si>
  <si>
    <t>ИННА</t>
  </si>
  <si>
    <t>ВИКТОРОВНА</t>
  </si>
  <si>
    <t>библиотекарь</t>
  </si>
  <si>
    <t>Художественный труд , Художественный труд</t>
  </si>
  <si>
    <t>40, 120</t>
  </si>
  <si>
    <t>2018-06-04T00:00:00, 2019-10-28T00:00:00</t>
  </si>
  <si>
    <t>2018-06-08T00:00:00, 2019-11-12T00:00:00</t>
  </si>
  <si>
    <t>000123, нет</t>
  </si>
  <si>
    <t>[5 класс, 8 класс, 9 класс, 6 класс, 7 класс]</t>
  </si>
  <si>
    <t>ИСАЕВА</t>
  </si>
  <si>
    <t>РИММА</t>
  </si>
  <si>
    <t>СЕРГЕЕВНА</t>
  </si>
  <si>
    <t>социальный педагог</t>
  </si>
  <si>
    <t>АО НЦПК «Өрлеу» (Региональные филиалы АО  НЦПК«Өрлеу»), АО НЦПК «Өрлеу» (Региональные филиалы АО  НЦПК«Өрлеу»), Другие организации , АО НЦПК «Өрлеу» (Региональные филиалы АО  НЦПК«Өрлеу»), Другие организации</t>
  </si>
  <si>
    <t>начальное обучение, Социальная адаптация и трудовая подготовка, начальное обучение, начальное обучение, начальное обучение</t>
  </si>
  <si>
    <t>В рамках обновления содержания среднего образования, Инклюзивное образование, Инклюзивное образование, Педагогическая компетентность: развитие и совершенствование, Инклюзивное образование</t>
  </si>
  <si>
    <t>очная, очная, очная, очная, очная</t>
  </si>
  <si>
    <t>русский, русский, русский, русский, русский</t>
  </si>
  <si>
    <t>120, 80, 120, 80, 72</t>
  </si>
  <si>
    <t>2017-06-05T00:00:00, 2017-11-06T00:00:00, 2019-10-28T00:00:00, 2023-10-16T00:00:00, 2022-12-19T00:00:00</t>
  </si>
  <si>
    <t>2017-06-23T00:00:00, 2017-11-17T00:00:00, 2019-11-12T00:00:00, 2023-10-27T00:00:00, 2023-01-06T00:00:00</t>
  </si>
  <si>
    <t>005727, 000123, нет, 0639043, 094517</t>
  </si>
  <si>
    <t>ЗАКАРИЯНОВА</t>
  </si>
  <si>
    <t>БАЯН</t>
  </si>
  <si>
    <t>ТУЛЕГЕНОВНА</t>
  </si>
  <si>
    <t>АО НЦПК «Өрлеу» (Региональные филиалы АО  НЦПК«Өрлеу»), Другие организации , АО НЦПК «Өрлеу» (Региональные филиалы АО  НЦПК«Өрлеу»), Другие организации , Другие организации , АО НЦПК «Өрлеу» (Региональные филиалы АО  НЦПК«Өрлеу»), АО НЦПК «Өрлеу» (Региональные филиалы АО  НЦПК«Өрлеу»)</t>
  </si>
  <si>
    <t>начальное обучение, начальное обучение, Русский язык и литература, Русский язык и литература, Русский язык и литература, Русский язык и литература, начальное обучение</t>
  </si>
  <si>
    <t>В рамках обновления содержания среднего образования, Инклюзивное образование, Использование цифровых ресурсов в преподавании предметов, Инклюзивное образование, Предметные курсы/предмет, Предметные курсы/предмет, Предметные курсы/предмет</t>
  </si>
  <si>
    <t>очная, очная, дистанционная, очная, очная, очная, очная</t>
  </si>
  <si>
    <t>казахский, казахский, казахский, казахский, казахский, казахский, казахский</t>
  </si>
  <si>
    <t>120, 120, 8, 72, 80, 80, 80</t>
  </si>
  <si>
    <t>2016-05-02T00:00:00, 2019-10-28T00:00:00, 2021-09-08T00:00:00, 2022-12-19T00:00:00, 2022-08-10T00:00:00, 2022-10-10T00:00:00, 2021-06-25T00:00:00</t>
  </si>
  <si>
    <t>2016-05-20T00:00:00, 2019-11-12T00:00:00, 2021-09-08T00:00:00, 2023-01-06T00:00:00, 2022-08-24T00:00:00, 2022-10-21T00:00:00, 2021-07-02T00:00:00</t>
  </si>
  <si>
    <t>0065897, нет, 41756, 094516, 080140, 0536340, 0405411</t>
  </si>
  <si>
    <t>[6 класс, 8 класс, 10 класс, 9 класс, 7 класс, 5 класс]</t>
  </si>
  <si>
    <t>ПРИВАЛОВА</t>
  </si>
  <si>
    <t>ОКСАНА</t>
  </si>
  <si>
    <t>уборщик служебных помещений</t>
  </si>
  <si>
    <t>Техническое и профессиональное образование</t>
  </si>
  <si>
    <t>другое</t>
  </si>
  <si>
    <t>ИСХАНОВА</t>
  </si>
  <si>
    <t>АШИМОВНА</t>
  </si>
  <si>
    <t>гардеробщик</t>
  </si>
  <si>
    <t>Общее среднее образование</t>
  </si>
  <si>
    <t>КОШАНОВА</t>
  </si>
  <si>
    <t>ДАНА</t>
  </si>
  <si>
    <t>ТАЛГАТОВНА</t>
  </si>
  <si>
    <t>Центр педагогического мастерства АОО «НИШ»</t>
  </si>
  <si>
    <t>2018-07-02T00:00:00</t>
  </si>
  <si>
    <t>2018-07-20T00:00:00</t>
  </si>
  <si>
    <t>КЕНЕНБАЕВА</t>
  </si>
  <si>
    <t>ЗУЛЬФИЯ</t>
  </si>
  <si>
    <t>КАДЫРОВНА</t>
  </si>
  <si>
    <t>заместитель директора по воспитательной работе</t>
  </si>
  <si>
    <t>Другие организации , Курсы по обновленным программам, АО НЦПК «Өрлеу» (Региональные филиалы АО  НЦПК«Өрлеу»)</t>
  </si>
  <si>
    <t>География, География, География</t>
  </si>
  <si>
    <t>Предметные курсы/предмет, Предметные курсы/предмет, Предметные курсы/предмет</t>
  </si>
  <si>
    <t>очная, дистанционная, очная</t>
  </si>
  <si>
    <t>казахский, русский, русский</t>
  </si>
  <si>
    <t>80, 56, 80</t>
  </si>
  <si>
    <t>2022-09-08T00:00:00, 2020-09-23T00:00:00, 2022-07-18T00:00:00</t>
  </si>
  <si>
    <t>2022-09-22T00:00:00, 2020-07-28T00:00:00, 2022-07-01T00:00:00</t>
  </si>
  <si>
    <t>003249, 248а1703, 0518470</t>
  </si>
  <si>
    <t>[5 класс, 11 класс, 7 класс, 8 класс, 9 класс, 10 класс]</t>
  </si>
  <si>
    <t>ШИРЯЕВА</t>
  </si>
  <si>
    <t>ЕКАТЕРИНА</t>
  </si>
  <si>
    <t>ФЕДОРОВНА</t>
  </si>
  <si>
    <t>2016-06-06T00:00:00</t>
  </si>
  <si>
    <t>2016-06-24T00:00:00</t>
  </si>
  <si>
    <t>[9 класс, 10 класс, 11 класс, 8 класс]</t>
  </si>
  <si>
    <t>для детей с нарушением функций опорно-двигательного аппарата (НФОДА)</t>
  </si>
  <si>
    <t>ЧЕРНОВА</t>
  </si>
  <si>
    <t>ДМИТРИЕВНА</t>
  </si>
  <si>
    <t>возвратился на педагогическую работу из числа бывших учителей</t>
  </si>
  <si>
    <t>заместитель директора по учебно-воспитательной работе</t>
  </si>
  <si>
    <t>АО НЦПК «Өрлеу» (Региональные филиалы АО  НЦПК«Өрлеу»), РГКП «Республиканский учебно-методический центр дополнительного образования» МОН РК, АО НЦПК «Өрлеу» (Региональные филиалы АО  НЦПК«Өрлеу»)</t>
  </si>
  <si>
    <t>Математика/алгебра/геометрия, Математика/алгебра/геометрия, Математика/алгебра/геометрия</t>
  </si>
  <si>
    <t>В рамках обновления содержания среднего образования, Инклюзивное образование, Информационно-коммуникационные технологии (ИКТ)</t>
  </si>
  <si>
    <t>80, 120, 72</t>
  </si>
  <si>
    <t>2017-06-05T00:00:00, 2019-10-28T00:00:00, 2017-03-06T00:00:00</t>
  </si>
  <si>
    <t>2017-06-16T00:00:00, 2019-11-12T00:00:00, 2017-03-17T00:00:00</t>
  </si>
  <si>
    <t>000161, №113370, 111302</t>
  </si>
  <si>
    <t>[5 класс, 8 класс]</t>
  </si>
  <si>
    <t>КРАВЦОВА</t>
  </si>
  <si>
    <t>СВЕТЛАНА</t>
  </si>
  <si>
    <t>данного района, города данной области</t>
  </si>
  <si>
    <t>РУДЧЕНКО</t>
  </si>
  <si>
    <t>ТАИСИЯ</t>
  </si>
  <si>
    <t>АЛЕКСЕЕВНА</t>
  </si>
  <si>
    <t>Мордва</t>
  </si>
  <si>
    <t>БАЙЖАНОВ</t>
  </si>
  <si>
    <t>НУРСУЛТАН</t>
  </si>
  <si>
    <t>БОРИСОВИЧ</t>
  </si>
  <si>
    <t>мужской</t>
  </si>
  <si>
    <t>рядовой</t>
  </si>
  <si>
    <t>перешел на учительскую работу из других учреждений, организаций, не педагогов</t>
  </si>
  <si>
    <t>педагог-организатор начальной военной и технологической подготовки</t>
  </si>
  <si>
    <t>НВП</t>
  </si>
  <si>
    <t>Физическая культура</t>
  </si>
  <si>
    <t>Личный</t>
  </si>
  <si>
    <t>АО НЦПК «Өрлеу» (Региональные филиалы АО  НЦПК«Өрлеу»), Другие организации , АО НЦПК «Өрлеу» (Региональные филиалы АО  НЦПК«Өрлеу»), Другие организации , АО НЦПК «Өрлеу» (Региональные филиалы АО  НЦПК«Өрлеу»)</t>
  </si>
  <si>
    <t>НВП, Физическая культура, НВП, Физическая культура, НВП</t>
  </si>
  <si>
    <t>Предметные курсы/предмет, Инклюзивное образование, Предметные курсы/предмет, Предметные курсы/предмет, Предметные курсы/предмет</t>
  </si>
  <si>
    <t>русский, казахский, казахский, казахский, русский</t>
  </si>
  <si>
    <t>72, 120, 80, 80, 80</t>
  </si>
  <si>
    <t>2019-02-20T00:00:00, 2019-10-28T00:00:00, 2022-04-25T00:00:00, 2021-09-17T00:00:00, 2020-02-21T00:00:00</t>
  </si>
  <si>
    <t>2019-03-04T00:00:00, 2019-11-12T00:00:00, 2022-05-06T00:00:00, 2021-10-01T00:00:00, 2020-03-06T00:00:00</t>
  </si>
  <si>
    <t>00235, нет, 04839004, 00001328, 0324894</t>
  </si>
  <si>
    <t>[10 класс, 11 класс, 9 класс]</t>
  </si>
  <si>
    <t>ЕСЛЯМОВА</t>
  </si>
  <si>
    <t>АЙЛАНА</t>
  </si>
  <si>
    <t>КАЙРАТОВНА</t>
  </si>
  <si>
    <t>Музыка</t>
  </si>
  <si>
    <t>Предметные курсы/предмет</t>
  </si>
  <si>
    <t>дистанционная</t>
  </si>
  <si>
    <t>2020-06-12T00:00:00</t>
  </si>
  <si>
    <t>2020-06-26T00:00:00</t>
  </si>
  <si>
    <t>[1 класс, 3 класс, 5 класс, 2 класс, 4 класс, 6 класс, 7 класс]</t>
  </si>
  <si>
    <t>МЕИРМАНОВА</t>
  </si>
  <si>
    <t>АО НЦПК «Өрлеу» (Региональные филиалы АО  НЦПК«Өрлеу»), АО НЦПК «Өрлеу» (Региональные филиалы АО  НЦПК«Өрлеу»), АО НЦПК «Өрлеу» (Региональные филиалы АО  НЦПК«Өрлеу»)</t>
  </si>
  <si>
    <t>Русский язык и литература, Русский язык и литература, Предметно-практическая деятельность</t>
  </si>
  <si>
    <t>В рамках обновления содержания среднего образования, В рамках обновления содержания среднего образования, Информационно-коммуникационные технологии (ИКТ)</t>
  </si>
  <si>
    <t>108, 108, 72</t>
  </si>
  <si>
    <t>2017-06-05T00:00:00, 2019-08-05T00:00:00, 2017-03-06T00:00:00</t>
  </si>
  <si>
    <t>2017-06-23T00:00:00, 2019-08-29T00:00:00, 2017-03-17T00:00:00</t>
  </si>
  <si>
    <t>0048562, 00038956, 111228</t>
  </si>
  <si>
    <t>[5 класс, 8 класс, 10 класс]</t>
  </si>
  <si>
    <t>ГУСЕВА</t>
  </si>
  <si>
    <t>ЛЮБОВЬ</t>
  </si>
  <si>
    <t>вахтер (на каждое здание)</t>
  </si>
  <si>
    <t>АЛГЕЛДІҚЫЗЫ</t>
  </si>
  <si>
    <t>ӘЛИЯ</t>
  </si>
  <si>
    <t>Не проходил(а)</t>
  </si>
  <si>
    <t>[1 класс, 2 класс, 3 класс, 4 класс, 5 класс, 6 класс]</t>
  </si>
  <si>
    <t>АСТРАХАНЦЕВА</t>
  </si>
  <si>
    <t>ВАЛЕРЬЕВНА</t>
  </si>
  <si>
    <t>из другого  колледжа</t>
  </si>
  <si>
    <t>Химия</t>
  </si>
  <si>
    <t>АО НЦПК «Өрлеу» (Региональные филиалы АО  НЦПК«Өрлеу»), НЕКОММЕРЧЕСКОЕ АКЦИОНЕРНОЕ ОБЩЕСТВО "TALAP", АО НЦПК «Өрлеу» (Региональные филиалы АО  НЦПК«Өрлеу»), Другие организации , НЕКОММЕРЧЕСКОЕ АКЦИОНЕРНОЕ ОБЩЕСТВО "TALAP", Центр педагогического мастерства АОО «НИШ», Другие организации</t>
  </si>
  <si>
    <t>Биология, другие, Химия, другие, другие, Химия, Химия</t>
  </si>
  <si>
    <t>Модульно-компетентностный подход, Модульно-компетентностный подход, Информационно-коммуникационные технологии (ИКТ), Социально-педагогическое сопровождение, Внедрение IT-технологий в образовательный процесс, Обновленные и специальные образовательные программы технического и профессионального образования, Инклюзивное образование</t>
  </si>
  <si>
    <t>очная, очная, очная, очная, дистанционная, дистанционная, очная</t>
  </si>
  <si>
    <t>русский, русский, русский, русский, русский, русский, русский</t>
  </si>
  <si>
    <t>72, 72, 72, 24, 36, 80, 72</t>
  </si>
  <si>
    <t>2014-11-24T00:00:00, 2018-05-14T00:00:00, 2018-10-15T16:01:00, 2020-06-08T00:00:00, 2020-07-30T00:00:00, 2020-08-10T00:00:00, 2023-12-19T00:00:00</t>
  </si>
  <si>
    <t>2014-12-05T00:00:00, 2018-05-25T00:00:00, 2018-10-26T16:01:00, 2020-06-10T00:00:00, 2020-08-05T00:00:00, 2020-08-21T00:00:00, 2024-01-06T00:00:00</t>
  </si>
  <si>
    <t>0013711, 50, 00034516, С20200002951, 00175, 000197, 094509</t>
  </si>
  <si>
    <t>[7 класс, 8 класс, 10 класс, 9 класс, 11 класс, 5 класс]</t>
  </si>
  <si>
    <t>ИКРАМБЕК</t>
  </si>
  <si>
    <t>АМАНЖОЛ</t>
  </si>
  <si>
    <t>Курсы по обновленным программам, АО НЦПК «Өрлеу» (Региональные филиалы АО  НЦПК«Өрлеу»), Другие организации , Другие организации , АО НЦПК «Өрлеу» (Региональные филиалы АО  НЦПК«Өрлеу»), АО НЦПК «Өрлеу» (Региональные филиалы АО  НЦПК«Өрлеу»)</t>
  </si>
  <si>
    <t>История, История, другие, История, История, История</t>
  </si>
  <si>
    <t>Предметные курсы/предмет, Использование цифровых ресурсов в преподавании предметов, Другие программы, Предметные курсы/предмет, Предметные курсы/предмет, Другие программы</t>
  </si>
  <si>
    <t>дистанционная, очная, очная, очная, очная, очная</t>
  </si>
  <si>
    <t>казахский, казахский, казахский, казахский, казахский, казахский</t>
  </si>
  <si>
    <t>80, 8, 72, 72, 80, 24</t>
  </si>
  <si>
    <t>2021-06-28T00:00:00, 2021-08-24T00:00:00, 2023-07-10T00:00:00, 2023-08-07T00:00:00, 2023-09-04T00:00:00, 2023-09-04T00:00:00</t>
  </si>
  <si>
    <t>2021-07-12T00:00:00, 2021-08-24T00:00:00, 2023-07-27T00:00:00, 2023-08-25T00:00:00, 2023-09-15T00:00:00, 2023-09-09T00:00:00</t>
  </si>
  <si>
    <t>142с18571, 11475, 095212, 095210, 0637753, 135178</t>
  </si>
  <si>
    <t>[6 класс, 8 класс, 10 класс, 5 класс, 7 класс, 9 класс]</t>
  </si>
  <si>
    <t>ЖУВАРОВА</t>
  </si>
  <si>
    <t>ГУЛЬМИРА</t>
  </si>
  <si>
    <t>ЖАМАНТАЙКЫЗЫ</t>
  </si>
  <si>
    <t>АО НЦПК «Өрлеу» (Региональные филиалы АО  НЦПК«Өрлеу»), АО НЦПК «Өрлеу» (Региональные филиалы АО  НЦПК«Өрлеу»), Центр педагогического мастерства АОО «НИШ», АО НЦПК «Өрлеу» (Региональные филиалы АО  НЦПК«Өрлеу»), Другие организации</t>
  </si>
  <si>
    <t>начальное обучение, Казахский язык и литература, Казахский язык и литература, Казахский язык и литература, Казахский язык и литература</t>
  </si>
  <si>
    <t>В рамках обновления содержания среднего образования, В рамках обновленного содержания образования/ предмет, В рамках обновленного содержания образования/ предмет, Использование цифровых ресурсов в преподавании предметов, Другие программы</t>
  </si>
  <si>
    <t>казахский, казахский, казахский, казахский, русский</t>
  </si>
  <si>
    <t>120, 160, 120, 8, 24</t>
  </si>
  <si>
    <t>2016-05-02T00:00:00, 2016-05-18T00:00:00, 2018-08-02T00:00:00, 2021-08-24T00:00:00, 2023-10-15T00:00:00</t>
  </si>
  <si>
    <t>2016-05-20T00:00:00, 2016-06-10T00:00:00, 2018-08-25T00:00:00, 2021-08-24T00:00:00, 2023-10-18T00:00:00</t>
  </si>
  <si>
    <t>0066037, 0066037, БЖ № 034736, 13078, C20230007976</t>
  </si>
  <si>
    <t>[6 класс, 8 класс, 4 класс]</t>
  </si>
  <si>
    <t>КАБЫЛБАЕВ</t>
  </si>
  <si>
    <t>КАЙРАТ</t>
  </si>
  <si>
    <t>МАРАТОВИЧ</t>
  </si>
  <si>
    <t>высшая категория</t>
  </si>
  <si>
    <t>Подтверждено в 2020 году</t>
  </si>
  <si>
    <t>АО НЦПК «Өрлеу» (Региональные филиалы АО  НЦПК«Өрлеу»), Другие организации , Другие организации , Другие организации , НЕКОММЕРЧЕСКОЕ АКЦИОНЕРНОЕ ОБЩЕСТВО "TALAP"</t>
  </si>
  <si>
    <t>Физическая культура, другие, Физическая культура, Физическая культура, Физическая культура</t>
  </si>
  <si>
    <t>Спортивному направлению, Другие программы, Предметные курсы/предмет, Другие программы, Другие программы</t>
  </si>
  <si>
    <t>очная, дистанционная, очная, очная, дистанционная</t>
  </si>
  <si>
    <t>72, 72, 72, 36, 36</t>
  </si>
  <si>
    <t>2014-05-12T00:00:00, 2019-05-27T00:00:00, 2019-05-15T00:00:00, 2020-08-07T00:00:00, 2020-07-19T00:00:00</t>
  </si>
  <si>
    <t>2014-05-23T00:00:00, 2019-06-05T00:00:00, 2019-06-05T00:00:00, 2020-08-14T00:00:00, 2020-07-26T00:00:00</t>
  </si>
  <si>
    <t>0021005, 200033, 200033, 08624, 16040</t>
  </si>
  <si>
    <t>[5 класс, 7 класс, 8 класс, 10 класс, 11 класс]</t>
  </si>
  <si>
    <t>КАЗИЕВА</t>
  </si>
  <si>
    <t>ШИНАР</t>
  </si>
  <si>
    <t>учитель-дефектолог</t>
  </si>
  <si>
    <t>Другие организации , Другие организации , Другие организации , Другие организации</t>
  </si>
  <si>
    <t>Коррекция недостатков развития речи, Развитие психомоторики и сенсорных процессов, Логопедия, Логопедия</t>
  </si>
  <si>
    <t>Для педагогических работников в системе специального и инклюзивного образования, Для педагогов в системе специального и инклюзивного образования, Другие программы, Для педагогов в системе специального и инклюзивного образования</t>
  </si>
  <si>
    <t>72, 48, 72, 72</t>
  </si>
  <si>
    <t>2019-07-20T00:00:00, 2019-06-04T00:00:00, 2019-07-20T00:00:00, 2019-10-07T00:00:00</t>
  </si>
  <si>
    <t>2019-07-21T00:00:00, 2019-07-05T00:00:00, 2019-07-21T00:00:00, 2019-10-21T00:00:00</t>
  </si>
  <si>
    <t>113294, 001, 113294, 408</t>
  </si>
  <si>
    <t>МУРАТ</t>
  </si>
  <si>
    <t>АЯНУР</t>
  </si>
  <si>
    <t>педагог группы/класса предшкольной подготовки</t>
  </si>
  <si>
    <t>Другие организации</t>
  </si>
  <si>
    <t>Учебно-воспитательный процесс</t>
  </si>
  <si>
    <t>2018-09-10T00:00:00</t>
  </si>
  <si>
    <t>2018-09-12T00:00:00</t>
  </si>
  <si>
    <t>[0 класс]</t>
  </si>
  <si>
    <t>ТКАЧЕНКО</t>
  </si>
  <si>
    <t>ДАВЫДОВНА</t>
  </si>
  <si>
    <t>Немцы</t>
  </si>
  <si>
    <t>В рамках обновленного содержания образования/ предмет</t>
  </si>
  <si>
    <t>2017-05-29T00:00:00</t>
  </si>
  <si>
    <t>2017-06-16T00:00:00</t>
  </si>
  <si>
    <t>№009024</t>
  </si>
  <si>
    <t>КАКЕНОВА</t>
  </si>
  <si>
    <t>САБИНА</t>
  </si>
  <si>
    <t>БАУРЖАНОВНА</t>
  </si>
  <si>
    <t>начальное обучение, начальное обучение, начальное обучение</t>
  </si>
  <si>
    <t>Предметные курсы/предмет, Инклюзивное образование, Предметные курсы/предмет</t>
  </si>
  <si>
    <t>казахский, казахский, казахский</t>
  </si>
  <si>
    <t>120, 72, 72</t>
  </si>
  <si>
    <t>2017-03-15T00:00:00, 2022-12-19T00:00:00, 2022-12-26T00:00:00</t>
  </si>
  <si>
    <t>2017-04-04T00:00:00, 2023-01-06T00:00:00, 2023-02-06T00:00:00</t>
  </si>
  <si>
    <t>012296, 094522, 094379</t>
  </si>
  <si>
    <t>БАТТАЛОВ</t>
  </si>
  <si>
    <t>МУБАРАКОВИЧ</t>
  </si>
  <si>
    <t>АО НЦПК «Өрлеу» (Региональные филиалы АО  НЦПК«Өрлеу»), Центр педагогического мастерства АОО «НИШ», АО НЦПК «Өрлеу» (Региональные филиалы АО  НЦПК«Өрлеу»), Центр педагогического мастерства АОО «НИШ», Центр педагогического мастерства АОО «НИШ», НЕКОММЕРЧЕСКОЕ АКЦИОНЕРНОЕ ОБЩЕСТВО "TALAP", НЕКОММЕРЧЕСКОЕ АКЦИОНЕРНОЕ ОБЩЕСТВО "TALAP", НЕКОММЕРЧЕСКОЕ АКЦИОНЕРНОЕ ОБЩЕСТВО "TALAP", Другие организации , НЕКОММЕРЧЕСКОЕ АКЦИОНЕРНОЕ ОБЩЕСТВО "TALAP", НЕКОММЕРЧЕСКОЕ АКЦИОНЕРНОЕ ОБЩЕСТВО "TALAP", второй</t>
  </si>
  <si>
    <t>Физика/Астрономия , Физика/Астрономия , Физика/Астрономия , Физика/Астрономия , Физика/Астрономия , другие, другие, Математика/алгебра/геометрия, другие, Физика/Астрономия , Физика/Астрономия , Физика/Астрономия</t>
  </si>
  <si>
    <t>Другие программы, Другие программы, Другие программы, Другие программы, В рамках обновления содержания среднего образования, Внедрение IT-технологий в образовательный процесс, Инновационные методы обучения , Информационно-коммуникационные технологии (ИКТ), Инклюзивное образование, Информационно-коммуникационные технологии (ИКТ), Информационно-коммуникационные технологии (ИКТ), Другие программы</t>
  </si>
  <si>
    <t>очная, очная, очная, дистанционная, дистанционная, дистанционная, дистанционная, дистанционная, очная, дистанционная, дистанционная, дистанционная</t>
  </si>
  <si>
    <t>русский, русский, русский, русский, русский, русский, русский, русский, русский, русский, русский, русский</t>
  </si>
  <si>
    <t>72, 40, 8, 56, 80, 36, 36, 36, 72, 36, 36, 160</t>
  </si>
  <si>
    <t>2015-03-30T00:00:00, 2017-06-26T10:21:00, 2017-05-28T00:00:00, 2020-07-23T10:29:00, 2020-08-10T10:31:00, 2020-08-02T10:33:00, 2020-07-22T10:34:00, 2020-07-10T10:34:00, 2022-07-11T00:00:00, 2020-07-30T00:00:00, 2020-07-14T00:00:00, 2023-07-02T00:00:00</t>
  </si>
  <si>
    <t>2015-04-10T00:00:00, 2017-06-30T00:00:00, 2017-06-04T00:00:00, 2020-07-28T10:29:00, 2020-08-21T10:31:00, 2020-08-06T10:33:00, 2020-07-27T10:34:00, 2020-07-16T10:34:00, 2022-07-29T00:00:00, 2020-08-06T00:00:00, 2020-07-21T00:00:00, 2023-08-02T00:00:00</t>
  </si>
  <si>
    <t>0016053, 039081, 0000547, 2450db54, 000248, 01084, 15081, 14430, 093786, 01084, 15081, 011747</t>
  </si>
  <si>
    <t>[5 класс, 10 класс, 11 класс, 7 класс, 8 класс, 9 класс]</t>
  </si>
  <si>
    <t>СКОСЫРСКАЯ</t>
  </si>
  <si>
    <t>МАРИНА</t>
  </si>
  <si>
    <t>[0 класс, 2 класс]</t>
  </si>
  <si>
    <t>ТУРИМОВА</t>
  </si>
  <si>
    <t>ЛАРИСА</t>
  </si>
  <si>
    <t>ДЖАНИЗАКОВНА</t>
  </si>
  <si>
    <t>УЗБЕКИСТАН</t>
  </si>
  <si>
    <t>Каракалпаки</t>
  </si>
  <si>
    <t>НУРБАЕВА</t>
  </si>
  <si>
    <t>ИНАБАТ</t>
  </si>
  <si>
    <t>БАУЫРЖАНОВНА</t>
  </si>
  <si>
    <t>[1 класс, 2 класс, 3 класс, 4 класс, 5 класс, 6 класс, 7 класс, 8 класс, 10 класс]</t>
  </si>
  <si>
    <t>БЕСЕМБАЕВА</t>
  </si>
  <si>
    <t>ЕВА</t>
  </si>
  <si>
    <t>НУРБОЛОВНА</t>
  </si>
  <si>
    <t>[5 класс, 6 класс, 3 класс]</t>
  </si>
  <si>
    <t>РАМАЗАНОВА</t>
  </si>
  <si>
    <t>ДИАНА</t>
  </si>
  <si>
    <t>НУРШАТКЫЗЫ</t>
  </si>
  <si>
    <t>[7 класс, 8 класс, 9 класс, 6 класс]</t>
  </si>
  <si>
    <t>БУЛАНБАЕВА</t>
  </si>
  <si>
    <t>АЖАР</t>
  </si>
  <si>
    <t>СЕРІКҚЫЗЫ</t>
  </si>
  <si>
    <t>Обновленное содержание обучения</t>
  </si>
  <si>
    <t>2019-01-14T00:00:00</t>
  </si>
  <si>
    <t>2019-02-04T00:00:00</t>
  </si>
  <si>
    <t>[3 класс, 4 класс, 9 класс, 7 класс, 5 класс]</t>
  </si>
  <si>
    <t>КУРУМБАЕВА</t>
  </si>
  <si>
    <t>АСЕМГУЛЬ</t>
  </si>
  <si>
    <t>СЕИЛХАНОВНА</t>
  </si>
  <si>
    <t>АО НЦПК «Өрлеу» (Региональные филиалы АО  НЦПК«Өрлеу»), Другие организации высшего и послевузовского образования, АО НЦПК «Өрлеу» (Региональные филиалы АО  НЦПК«Өрлеу»), Центр педагогического мастерства АОО «НИШ», АО НЦПК «Өрлеу» (Региональные филиалы АО  НЦПК«Өрлеу»), АО НЦПК «Өрлеу» (Региональные филиалы АО  НЦПК«Өрлеу»), Центр педагогического мастерства АОО «НИШ»</t>
  </si>
  <si>
    <t>начальное обучение, другие, Самопознание, другие, начальное обучение, начальное обучение, начальное обучение</t>
  </si>
  <si>
    <t>Предметные курсы/предмет, Воспитательный процесс, Предметные курсы/предмет, Инновационные методы обучения , В рамках обновленного содержания образования/ предмет, Учебно-воспитательный процесс, Учебно-воспитательный процесс</t>
  </si>
  <si>
    <t>очная, дистанционная, дистанционная, дистанционная, дистанционная, дистанционная, дистанционная</t>
  </si>
  <si>
    <t>120, 52, 72, 40, 120, 40, 80</t>
  </si>
  <si>
    <t>2016-05-16T00:00:00, 2019-09-02T00:00:00, 2020-05-25T00:00:00, 2020-08-04T00:00:00, 2020-07-08T00:00:00, 2020-10-25T00:00:00, 2021-02-12T00:00:00</t>
  </si>
  <si>
    <t>2016-06-10T00:00:00, 2019-10-10T00:00:00, 2020-06-05T00:00:00, 2020-08-09T00:00:00, 2020-09-02T00:00:00, 2020-11-07T00:00:00, 2021-02-26T00:00:00</t>
  </si>
  <si>
    <t>0066042, 276, 0338890, 581177, 052881, 6483519, а09925b9</t>
  </si>
  <si>
    <t>БАКЫТ</t>
  </si>
  <si>
    <t>АЯУЛЫМ</t>
  </si>
  <si>
    <t>АМАНЖОЛКЫЗЫ</t>
  </si>
  <si>
    <t>[9 класс, 7 класс, 8 класс, 6 класс]</t>
  </si>
  <si>
    <t>КАУШЕВА</t>
  </si>
  <si>
    <t>САНДУГАШ</t>
  </si>
  <si>
    <t>ОЛЖАБАЕВНА</t>
  </si>
  <si>
    <t>первая категория</t>
  </si>
  <si>
    <t>Подтверждено в 2021 году</t>
  </si>
  <si>
    <t>Математика/алгебра/геометрия, Математика/алгебра/геометрия</t>
  </si>
  <si>
    <t>Предметные курсы/предмет, Предметные курсы/предмет</t>
  </si>
  <si>
    <t>2015-09-18T00:00:00, 2016-10-28T00:00:00</t>
  </si>
  <si>
    <t>2015-10-02T00:00:00, 2016-11-12T00:00:00</t>
  </si>
  <si>
    <t>0054858, 0054874</t>
  </si>
  <si>
    <t>[5 класс, 9 класс, 10 класс, 6 класс, 7 класс, 8 класс]</t>
  </si>
  <si>
    <t>АМИРГОЖИНА</t>
  </si>
  <si>
    <t>АРАЙЛЫМ</t>
  </si>
  <si>
    <t>ЖОМАРТҚЫЗЫ</t>
  </si>
  <si>
    <t>Психология</t>
  </si>
  <si>
    <t>Психологическое сопровождение</t>
  </si>
  <si>
    <t>2018-09-03T00:00:00</t>
  </si>
  <si>
    <t>2018-09-07T00:00:00</t>
  </si>
  <si>
    <t>РАХМЕТУЛЛИНА</t>
  </si>
  <si>
    <t>ГУЛЬНАР</t>
  </si>
  <si>
    <t>[5 класс, 6 класс, 8 класс, 7 класс]</t>
  </si>
  <si>
    <t>ГУРНЫЙ</t>
  </si>
  <si>
    <t>АЛЕКСАНДР</t>
  </si>
  <si>
    <t>ПЕТРОВИЧ</t>
  </si>
  <si>
    <t>РОССИЯ</t>
  </si>
  <si>
    <t>определенный</t>
  </si>
  <si>
    <t>IT специалист</t>
  </si>
  <si>
    <t>внешнее совмещение</t>
  </si>
  <si>
    <t>Высшее (профессиональное)</t>
  </si>
  <si>
    <t>САДВОКАСОВА</t>
  </si>
  <si>
    <t>АЛМА</t>
  </si>
  <si>
    <t>СЕРИКОВНА</t>
  </si>
  <si>
    <t>секретарь</t>
  </si>
  <si>
    <t>делопроизводитель</t>
  </si>
  <si>
    <t>САЙФУЛЛИН</t>
  </si>
  <si>
    <t>АЙТОЛҚЫН</t>
  </si>
  <si>
    <t>не владеет английским языком</t>
  </si>
  <si>
    <t>КАРИБУЛЛИН</t>
  </si>
  <si>
    <t>ФАРИТ</t>
  </si>
  <si>
    <t>ГАЛИМОВИЧ</t>
  </si>
  <si>
    <t>Татары</t>
  </si>
  <si>
    <t>000177, нет</t>
  </si>
  <si>
    <t>[5 класс, 6 класс, 7 класс, 9 класс, 8 класс]</t>
  </si>
  <si>
    <t>ХАВСАМЕТ</t>
  </si>
  <si>
    <t>НУРГАЙЫП</t>
  </si>
  <si>
    <t>[5 класс, 9 класс, 3 класс]</t>
  </si>
  <si>
    <t>ПШЕНИЧНАЯ</t>
  </si>
  <si>
    <t>КСЕНИЯ</t>
  </si>
  <si>
    <t>АНДРЕЕВНА</t>
  </si>
  <si>
    <t>Инклюзивное образование</t>
  </si>
  <si>
    <t>2019-10-28T00:00:00</t>
  </si>
  <si>
    <t>2019-11-12T00:00:00</t>
  </si>
  <si>
    <t>[9 класс, 8 класс, 7 класс]</t>
  </si>
  <si>
    <t>ХУАНЫШ</t>
  </si>
  <si>
    <t>ГУЛЗАДА</t>
  </si>
  <si>
    <t>АО НЦПК «Өрлеу» (Региональные филиалы АО  НЦПК«Өрлеу»), Центр педагогического мастерства АОО «НИШ», Центр педагогического мастерства АОО «НИШ», Другие организации , Другие организации , Другие организации , РГКП «Республиканский учебно-методический центр дополнительного образования» МОН РК, Другие организации , Другие организации , Другие организации , АО НЦПК «Өрлеу» (Региональные филиалы АО  НЦПК«Өрлеу»), АО НЦПК «Өрлеу» (Региональные филиалы АО  НЦПК«Өрлеу»), Центр педагогического мастерства АОО «НИШ»</t>
  </si>
  <si>
    <t>начальное обучение, начальное обучение, начальное обучение, другие, начальное обучение, начальное обучение, Коррекция недостатков развития речи, Грамота (чтение, письмо, устная речь, дактильная речь), начальное обучение, начальное обучение, начальное обучение, начальное обучение, начальное обучение</t>
  </si>
  <si>
    <t>В рамках обновленного содержания образования/ предмет, Педагогическая компетентность: развитие и совершенствование, Другие программы, Другие программы, Инклюзивное образование, Инклюзивное образование, Другие программы, Другие программы, В рамках обновленного содержания образования/ предмет, В рамках обновленного содержания образования/ предмет, В рамках обновления содержания среднего образования, В рамках обновленного содержания образования/ предмет, Международные проекты в сфере образования (PISA, TALIS и др.)</t>
  </si>
  <si>
    <t>очная, очная, очная, очная, очная, очная, очная, очная, очная, очная, очная, очная, очная</t>
  </si>
  <si>
    <t>казахский, казахский, казахский, казахский, казахский, казахский, русский, казахский, казахский, казахский, казахский, казахский, казахский</t>
  </si>
  <si>
    <t>120, 80, 40, 14, 14, 8, 8, 46, 1, 1, 80, 1, 5</t>
  </si>
  <si>
    <t>2016-05-16T00:00:00, 2021-06-28T00:00:00, 2020-08-03T00:00:00, 2021-10-11T00:00:00, 2022-02-07T00:00:00, 2022-10-28T00:00:00, 2022-09-11T00:00:00, 2017-10-02T00:00:00, 2017-03-02T00:00:00, 2018-12-13T00:00:00, 2022-04-04T00:00:00, 2022-04-15T00:00:00, 2022-11-14T00:00:00</t>
  </si>
  <si>
    <t>2016-06-03T00:00:00, 2021-07-12T00:00:00, 2020-08-10T00:00:00, 2021-10-11T00:00:00, 2022-02-10T00:00:00, 2022-10-28T00:00:00, 2022-09-11T00:00:00, 2017-10-13T00:00:00, 2017-03-02T00:00:00, 2018-12-13T00:00:00, 2022-04-15T00:00:00, 2022-04-15T00:00:00, 2022-11-14T00:00:00</t>
  </si>
  <si>
    <t>111111, 1416b969c, 591910, 21271254, 8083, 2022, 018519, 044125, 02032017, 2018, 0483279, 0186-22, 3813а6318</t>
  </si>
  <si>
    <t>ЫВРАЙ</t>
  </si>
  <si>
    <t>БОКЕНБАЙ</t>
  </si>
  <si>
    <t>плотник</t>
  </si>
  <si>
    <t>не имеется</t>
  </si>
  <si>
    <t>АО НЦПК «Өрлеу» (Региональные филиалы АО  НЦПК«Өрлеу»), Другие организации , Другие организации , Другие организации</t>
  </si>
  <si>
    <t>Физическая культура, Физическая культура, Физическая культура, Физическая культура</t>
  </si>
  <si>
    <t>Другие программы, Информационно-коммуникационные технологии (ИКТ), Инклюзивное образование, Педагогическая компетентность: развитие и совершенствование</t>
  </si>
  <si>
    <t>очная, очная, дистанционная, очная</t>
  </si>
  <si>
    <t>казахский, казахский, казахский, казахский</t>
  </si>
  <si>
    <t>40, 40, 120, 80</t>
  </si>
  <si>
    <t>2019-06-10T12:58:00, 2019-06-15T00:00:00, 2019-10-28T13:58:00, 2022-11-14T00:00:00</t>
  </si>
  <si>
    <t>2019-06-14T12:58:00, 2019-06-30T00:00:00, 2019-11-20T13:58:00, 2022-11-25T00:00:00</t>
  </si>
  <si>
    <t>БЖ №014898, №001066, №425, № 00003542</t>
  </si>
  <si>
    <t>[6 класс, 5 класс, 7 класс, 8 класс, 9 класс]</t>
  </si>
  <si>
    <t>ЧЕРНОВ</t>
  </si>
  <si>
    <t>ОЛЕГ</t>
  </si>
  <si>
    <t>АЛЕКСАНДРОВИЧ</t>
  </si>
  <si>
    <t>электрик</t>
  </si>
  <si>
    <t>БАТТАЛОВА</t>
  </si>
  <si>
    <t>ЖАКИЯНОВНА</t>
  </si>
  <si>
    <t>заведующий библиотекой</t>
  </si>
  <si>
    <t>ЖАНЫБЕКОВ</t>
  </si>
  <si>
    <t>КАЗБЕК</t>
  </si>
  <si>
    <t>БЕКОВИЧ</t>
  </si>
  <si>
    <t>офицерский состав</t>
  </si>
  <si>
    <t>дворник</t>
  </si>
  <si>
    <t>АЙСЛУ</t>
  </si>
  <si>
    <t>НУРМУХАНБЕТОВНА</t>
  </si>
  <si>
    <t>АКЫЛБЕКОВА</t>
  </si>
  <si>
    <t>САУЛЕ</t>
  </si>
  <si>
    <t>МУХАМЕТАЛИКЫЗЫ</t>
  </si>
  <si>
    <t>заместитель директора по научно-методической работе</t>
  </si>
  <si>
    <t>Центр педагогического мастерства АОО «НИШ», АО НЦПК «Өрлеу» (Региональные филиалы АО  НЦПК«Өрлеу»), Другие организации , Центр педагогического мастерства АОО «НИШ», Центр педагогического мастерства АОО «НИШ»</t>
  </si>
  <si>
    <t>начальное обучение, начальное обучение, начальное обучение, Казахский язык и литература, Казахский язык и литература</t>
  </si>
  <si>
    <t>В рамках обновленного содержания образования/ предмет, В рамках обновленного содержания образования/ предмет, Инклюзивное образование, Предметные курсы/предмет, Предметные курсы/предмет</t>
  </si>
  <si>
    <t>казахский, казахский, казахский, казахский, казахский</t>
  </si>
  <si>
    <t>180, 160, 14, 160, 80</t>
  </si>
  <si>
    <t>2015-06-01T00:00:00, 2020-08-02T00:00:00, 2022-02-11T00:00:00, 2019-07-12T00:00:00, 2021-04-13T00:00:00</t>
  </si>
  <si>
    <t>2015-07-03T00:00:00, 2020-09-02T00:00:00, 2022-02-11T00:00:00, 2019-07-16T00:00:00, 2021-04-23T00:00:00</t>
  </si>
  <si>
    <t>11111, 039768, 8278, 013463, 149041</t>
  </si>
  <si>
    <t>[10 класс, 5 класс, 6 класс, 7 класс, 8 класс]</t>
  </si>
  <si>
    <t>САДВАКАСОВА</t>
  </si>
  <si>
    <t>ОЛЬЖАБАЕВНА</t>
  </si>
  <si>
    <t>ИСМАНОВА</t>
  </si>
  <si>
    <t>ЖУМАЖАНОВНА</t>
  </si>
  <si>
    <t>главный бухгалтер</t>
  </si>
  <si>
    <t>бухгалтер</t>
  </si>
  <si>
    <t>АМАРКУЛОВА</t>
  </si>
  <si>
    <t>ОНЛАНКУЛЬ</t>
  </si>
  <si>
    <t>ЖОЛДАБЕКОВНА</t>
  </si>
  <si>
    <t>начальное обучение, Изобразительное искусство/черчение, Самопознание</t>
  </si>
  <si>
    <t>В рамках обновления содержания среднего образования, Обновленное содержание обучения, Другие программы</t>
  </si>
  <si>
    <t>очная, очная, дистанционная</t>
  </si>
  <si>
    <t>120, 40, 72</t>
  </si>
  <si>
    <t>2017-05-22T00:00:00, 2016-05-16T00:00:00, 2018-06-18T00:00:00</t>
  </si>
  <si>
    <t>2017-06-16T00:00:00, 2016-05-20T00:00:00, 2018-06-29T00:00:00</t>
  </si>
  <si>
    <t>БЖ № 012493, № 0065629, № 0900104</t>
  </si>
  <si>
    <t>АЯГАНОВ</t>
  </si>
  <si>
    <t>УСЕРБАЙ</t>
  </si>
  <si>
    <t>НУРГАЛИЕВИЧ</t>
  </si>
  <si>
    <t>[5 класс, 7 класс]</t>
  </si>
  <si>
    <t>ИМАНОВА</t>
  </si>
  <si>
    <t>УСЕНОВНА</t>
  </si>
  <si>
    <t>Педагогическая компетентность: развитие и совершенствование</t>
  </si>
  <si>
    <t>2023-09-04T00:00:00</t>
  </si>
  <si>
    <t>2023-09-16T00:00:00</t>
  </si>
  <si>
    <t>[8 класс, 9 класс, 10 класс]</t>
  </si>
  <si>
    <t>КАЙРКЕНОВА</t>
  </si>
  <si>
    <t>ГУЛЯ</t>
  </si>
  <si>
    <t>КАИРОЛЛОВНА</t>
  </si>
  <si>
    <t>Другие организации , АО НЦПК «Өрлеу» (Региональные филиалы АО  НЦПК«Өрлеу»), АО НЦПК «Өрлеу» (Региональные филиалы АО  НЦПК«Өрлеу»), АО НЦПК «Өрлеу» (Региональные филиалы АО  НЦПК«Өрлеу»), АО НЦПК «Өрлеу» (Региональные филиалы АО  НЦПК«Өрлеу»), АО НЦПК «Өрлеу» (Региональные филиалы АО  НЦПК«Өрлеу»), Другие организации</t>
  </si>
  <si>
    <t>Информатика , Русский язык и литература, Русский язык и литература, Русский язык и литература, Русский язык и литература, Русский язык и литература, другие</t>
  </si>
  <si>
    <t>Информационно-коммуникационные технологии (ИКТ), Предметные курсы/предмет, В рамках обновленного содержания образования/ предмет, Профессиональная компетентность , Инновационные методы обучения , Разработка и реализация образовательных программ, Инклюзивное образование</t>
  </si>
  <si>
    <t>очная, дистанционная, очная, дистанционная, дистанционная, дистанционная, очная</t>
  </si>
  <si>
    <t>72, 80, 160, 80, 40, 80, 120</t>
  </si>
  <si>
    <t>2007-07-02T13:53:00, 2020-05-04T13:56:00, 2017-11-20T14:26:00, 2020-05-12T12:25:00, 2020-08-10T16:56:00, 2021-06-29T00:00:00, 2022-07-11T00:00:00</t>
  </si>
  <si>
    <t>2007-07-15T13:53:00, 2020-05-22T13:56:00, 2017-12-27T14:26:00, 2020-05-22T12:25:00, 2020-08-15T16:56:00, 2021-07-14T00:00:00, 2022-07-29T00:00:00</t>
  </si>
  <si>
    <t>№0107562, №0338813, БЖ №002610, №0339302, №588299, БЖ № 000770, 093761</t>
  </si>
  <si>
    <t>[7 класс, 8 класс]</t>
  </si>
  <si>
    <t>АНАРА</t>
  </si>
  <si>
    <t>КАИРБЕКОВНА</t>
  </si>
  <si>
    <t>Музыка , Музыка , Музыка</t>
  </si>
  <si>
    <t>В рамках обновленного содержания образования/ предмет, Другие программы, Предметные курсы/предмет</t>
  </si>
  <si>
    <t>80, 80, 80</t>
  </si>
  <si>
    <t>2016-06-13T00:00:00, 2020-06-20T00:00:00, 2023-10-30T00:00:00</t>
  </si>
  <si>
    <t>2016-05-27T00:00:00, 2020-06-26T00:00:00, 2023-11-10T00:00:00</t>
  </si>
  <si>
    <t>0065813, 0372238, 0742015</t>
  </si>
  <si>
    <t>[3 класс, 2 класс]</t>
  </si>
  <si>
    <t>ШЕРМАГАНБЕТОВА</t>
  </si>
  <si>
    <t>САМАЛ</t>
  </si>
  <si>
    <t>ЗЕЙНУЛЛИНОВНА</t>
  </si>
  <si>
    <t>Присвоено в 2022 году</t>
  </si>
  <si>
    <t>другие, другие</t>
  </si>
  <si>
    <t>Учебно-воспитательный процесс, Инклюзивное образование</t>
  </si>
  <si>
    <t>дистанционная, дистанционная</t>
  </si>
  <si>
    <t>40, 80</t>
  </si>
  <si>
    <t>2020-08-10T00:00:00, 2024-01-03T00:00:00</t>
  </si>
  <si>
    <t>2020-08-15T00:00:00, 2024-01-17T00:00:00</t>
  </si>
  <si>
    <t>0, 010053</t>
  </si>
  <si>
    <t>для детей с нарушениями речи</t>
  </si>
  <si>
    <t>АБДУРАЗЗАКОВА</t>
  </si>
  <si>
    <t>ГУЛДАНА</t>
  </si>
  <si>
    <t>АБДУХАЛИКОВНА</t>
  </si>
  <si>
    <t>[6 класс, 5 класс, 7 класс, 8 класс, 9 класс, 10 класс]</t>
  </si>
  <si>
    <t>БИГЕЛДИЕВА</t>
  </si>
  <si>
    <t>ТАЛАПОВНА</t>
  </si>
  <si>
    <t>КАППАСОВА</t>
  </si>
  <si>
    <t>АНАР</t>
  </si>
  <si>
    <t>МУГАДИЛОВНА</t>
  </si>
  <si>
    <t>английский</t>
  </si>
  <si>
    <t>2021-03-01T00:00:00</t>
  </si>
  <si>
    <t>2021-03-19T00:00:00</t>
  </si>
  <si>
    <t>[8 класс, 7 класс, 5 класс]</t>
  </si>
  <si>
    <t>ШОВКАНЬ</t>
  </si>
  <si>
    <t>АННА</t>
  </si>
  <si>
    <t>ТЫЩЕНКО</t>
  </si>
  <si>
    <t>АНАСТАСИЯ</t>
  </si>
  <si>
    <t>старший вожатый</t>
  </si>
  <si>
    <t>другие</t>
  </si>
  <si>
    <t>2023-10-02T00:00:00</t>
  </si>
  <si>
    <t>2023-10-13T00:00:00</t>
  </si>
  <si>
    <t>[7 класс, 8 класс, 9 класс, 10 класс, 11 класс]</t>
  </si>
  <si>
    <t>ЖУМАШЕВА</t>
  </si>
  <si>
    <t>ЛЯЗЗАТ</t>
  </si>
  <si>
    <t>ТУЛЕУОВНА</t>
  </si>
  <si>
    <t>НУРМАГАМБЕТОВА</t>
  </si>
  <si>
    <t>ДАЛЬМИРА</t>
  </si>
  <si>
    <t>НУРЛАНОВНА</t>
  </si>
  <si>
    <t>[3 класс, 4 класс, 5 класс, 6 класс]</t>
  </si>
  <si>
    <t>МУХАМЕДЖАРОВА</t>
  </si>
  <si>
    <t>БАЛТАБЕКОВНА</t>
  </si>
  <si>
    <t>2021-02-22T00:00:00</t>
  </si>
  <si>
    <t>2021-02-26T00:00:00</t>
  </si>
  <si>
    <t>№0404257</t>
  </si>
  <si>
    <t>[2 класс, 4 класс, 5 класс, 3 класс, 6 класс]</t>
  </si>
  <si>
    <t>АЛИМБАЕВА</t>
  </si>
  <si>
    <t>ЕВГЕНИЯ</t>
  </si>
  <si>
    <t>логопед</t>
  </si>
  <si>
    <t>Другие организации , Другие организации</t>
  </si>
  <si>
    <t>Инклюзивное образование, Инклюзивное образование</t>
  </si>
  <si>
    <t>2019-10-28T00:00:00, 2022-07-11T00:00:00</t>
  </si>
  <si>
    <t>2019-11-12T00:00:00, 2022-07-29T00:00:00</t>
  </si>
  <si>
    <t>113479, 093757</t>
  </si>
  <si>
    <t>АГЕЕВА</t>
  </si>
  <si>
    <t>НАТАЛЬЯ</t>
  </si>
  <si>
    <t>Областные, городские институты  повышения квалификации</t>
  </si>
  <si>
    <t>БАЛНУР</t>
  </si>
  <si>
    <t>МАЙРАМБЕКҚЫЗЫ</t>
  </si>
  <si>
    <t>лаборант</t>
  </si>
  <si>
    <t>ИСМАГУЛОВА</t>
  </si>
  <si>
    <t>РАЙХАН</t>
  </si>
  <si>
    <t>ДАУЛЕТХАНОВНА</t>
  </si>
  <si>
    <t>заместитель заведующего по хозяйственной части</t>
  </si>
  <si>
    <t>КАИРГЕЛЬДИНОВНА</t>
  </si>
  <si>
    <t>сержант</t>
  </si>
  <si>
    <t>заведующий хозяйством</t>
  </si>
  <si>
    <t>ЭЛЬШАЙДТ</t>
  </si>
  <si>
    <t>ЮЛИЯ</t>
  </si>
  <si>
    <t>САЙ-МАГАМЕТОВНА</t>
  </si>
  <si>
    <t>РУСТЕМОВА</t>
  </si>
  <si>
    <t>ЖАЗИРА</t>
  </si>
  <si>
    <t>КУАНЫШОВНА</t>
  </si>
  <si>
    <t>РАХИМЖАНОВА</t>
  </si>
  <si>
    <t>КЫМБАТ</t>
  </si>
  <si>
    <t>СОВЕТОВНА</t>
  </si>
  <si>
    <t>АО НЦПК «Өрлеу» (Региональные филиалы АО  НЦПК«Өрлеу»), АО НЦПК «Өрлеу» (Региональные филиалы АО  НЦПК«Өрлеу»), Центр педагогического мастерства АОО «НИШ», Центр педагогического мастерства АОО «НИШ»</t>
  </si>
  <si>
    <t>География, География, География, другие</t>
  </si>
  <si>
    <t>В рамках обновленного содержания образования/ предмет, Информационно-коммуникационные технологии (ИКТ), Педагогическая компетентность: развитие и совершенствование, Для руководителей школ</t>
  </si>
  <si>
    <t>очная, дистанционная, смешанная, очная</t>
  </si>
  <si>
    <t>80, 80, 160, 640</t>
  </si>
  <si>
    <t>2018-06-18T00:00:00, 2021-09-06T00:00:00, 2022-07-18T00:00:00, 2018-07-02T00:00:00</t>
  </si>
  <si>
    <t>2018-06-29T00:00:00, 2021-09-17T00:00:00, 2022-08-12T00:00:00, 2019-05-17T00:00:00</t>
  </si>
  <si>
    <t>БЖ№005864, №142647, 33ae5ee83, D№000558</t>
  </si>
  <si>
    <t>[8 класс, 7 класс, 9 класс]</t>
  </si>
  <si>
    <t>КАИРБЕКОВ</t>
  </si>
  <si>
    <t>АМАНГЕЛЬДЫ</t>
  </si>
  <si>
    <t>ШАКЕНОВИЧ</t>
  </si>
  <si>
    <t>Физическая культура, Физическая культура</t>
  </si>
  <si>
    <t>В рамках обновленного содержания образования/ предмет, Предметные курсы/предмет</t>
  </si>
  <si>
    <t>2019-06-03T00:00:00, 2021-01-15T00:00:00</t>
  </si>
  <si>
    <t>2019-06-07T00:00:00, 2021-01-29T00:00:00</t>
  </si>
  <si>
    <t>014982, 0403817</t>
  </si>
  <si>
    <t>[3 класс, 4 класс, 9 класс]</t>
  </si>
  <si>
    <t>ШАХМЕТОВ</t>
  </si>
  <si>
    <t>БАЛАБЕК</t>
  </si>
  <si>
    <t>2018-06-04T00:00:00</t>
  </si>
  <si>
    <t>2018-06-13T00:00:00</t>
  </si>
  <si>
    <t>[10 класс, 11 класс]</t>
  </si>
  <si>
    <t>КАБДУАЛИЕВА</t>
  </si>
  <si>
    <t>МИРАМГУЛЬ</t>
  </si>
  <si>
    <t>ТЕНИСОВНА</t>
  </si>
  <si>
    <t>КАМИДОЛЛАЕВНА</t>
  </si>
  <si>
    <t>педагог-ассистент</t>
  </si>
  <si>
    <t>КАИРБАЕВА</t>
  </si>
  <si>
    <t>АРДАК</t>
  </si>
  <si>
    <t>СУЛТАНОВНА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</si>
</sst>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theme="1"/>
      <name val="Times New Roman"/>
      <family val="1"/>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18" fillId="0" borderId="0" xfId="0" applyFont="1" applyAlignment="1">
      <alignment horizontal="left" vertical="top"/>
    </xf>
    <xf numFmtId="14" fontId="18" fillId="0" borderId="0" xfId="0" applyNumberFormat="1" applyFont="1" applyAlignment="1">
      <alignment horizontal="left" vertical="top"/>
    </xf>
    <xf numFmtId="16" fontId="18" fillId="0" borderId="0" xfId="0" applyNumberFormat="1" applyFont="1" applyAlignment="1">
      <alignment horizontal="left" vertical="top"/>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CY363"/>
  <sheetViews>
    <sheetView tabSelected="1" topLeftCell="Q1" workbookViewId="0">
      <selection activeCell="AF1" sqref="AF1"/>
    </sheetView>
  </sheetViews>
  <sheetFormatPr defaultRowHeight="14.4" x14ac:dyDescent="0.3"/>
  <cols>
    <col min="1" max="2" width="9" bestFit="1" customWidth="1"/>
    <col min="7" max="7" width="10.109375" bestFit="1" customWidth="1"/>
    <col min="33" max="33" width="9" bestFit="1" customWidth="1"/>
    <col min="58" max="58" width="9" bestFit="1" customWidth="1"/>
    <col min="61" max="61" width="9" bestFit="1" customWidth="1"/>
    <col min="65" max="65" width="9" bestFit="1" customWidth="1"/>
    <col min="78" max="78" width="9" bestFit="1" customWidth="1"/>
    <col min="81" max="81" width="10" bestFit="1" customWidth="1"/>
    <col min="84" max="84" width="9" bestFit="1" customWidth="1"/>
  </cols>
  <sheetData>
    <row r="1" spans="1:103"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t="s">
        <v>93</v>
      </c>
      <c r="CQ1" t="s">
        <v>94</v>
      </c>
      <c r="CR1" t="s">
        <v>95</v>
      </c>
      <c r="CS1" t="s">
        <v>96</v>
      </c>
      <c r="CT1" t="s">
        <v>97</v>
      </c>
      <c r="CU1" t="s">
        <v>98</v>
      </c>
      <c r="CV1" t="s">
        <v>99</v>
      </c>
      <c r="CW1" t="s">
        <v>100</v>
      </c>
      <c r="CX1" t="s">
        <v>101</v>
      </c>
      <c r="CY1" t="s">
        <v>102</v>
      </c>
    </row>
    <row r="2" spans="1:103" hidden="1" x14ac:dyDescent="0.3">
      <c r="A2" s="1">
        <v>180512</v>
      </c>
      <c r="B2" s="1">
        <v>116929</v>
      </c>
      <c r="C2" s="1" t="str">
        <f>"920527450793"</f>
        <v>920527450793</v>
      </c>
      <c r="D2" s="1" t="s">
        <v>103</v>
      </c>
      <c r="E2" s="1" t="s">
        <v>104</v>
      </c>
      <c r="F2" s="1" t="s">
        <v>105</v>
      </c>
      <c r="G2" s="2">
        <v>33751</v>
      </c>
      <c r="H2" s="1"/>
      <c r="I2" s="1" t="s">
        <v>106</v>
      </c>
      <c r="J2" s="1" t="s">
        <v>107</v>
      </c>
      <c r="K2" s="1" t="s">
        <v>108</v>
      </c>
      <c r="L2" s="1"/>
      <c r="M2" s="1"/>
      <c r="N2" s="1"/>
      <c r="O2" s="1"/>
      <c r="P2" s="1" t="s">
        <v>109</v>
      </c>
      <c r="Q2" s="1"/>
      <c r="R2" s="1"/>
      <c r="S2" s="1"/>
      <c r="T2" s="1"/>
      <c r="U2" s="1"/>
      <c r="V2" s="1"/>
      <c r="W2" s="1" t="str">
        <f>"2017-11-06T00:00:00"</f>
        <v>2017-11-06T00:00:00</v>
      </c>
      <c r="X2" s="1" t="str">
        <f>"38"</f>
        <v>38</v>
      </c>
      <c r="Y2" s="1"/>
      <c r="Z2" s="1" t="s">
        <v>110</v>
      </c>
      <c r="AA2" s="1" t="s">
        <v>111</v>
      </c>
      <c r="AB2" s="1"/>
      <c r="AC2" s="1"/>
      <c r="AD2" s="1"/>
      <c r="AE2" s="1" t="s">
        <v>112</v>
      </c>
      <c r="AF2" s="1" t="s">
        <v>113</v>
      </c>
      <c r="AG2" s="1">
        <v>0</v>
      </c>
      <c r="AH2" s="1" t="s">
        <v>114</v>
      </c>
      <c r="AI2" s="1" t="s">
        <v>115</v>
      </c>
      <c r="AJ2" s="1" t="s">
        <v>116</v>
      </c>
      <c r="AK2" s="1"/>
      <c r="AL2" s="1"/>
      <c r="AM2" s="1"/>
      <c r="AN2" s="1" t="s">
        <v>117</v>
      </c>
      <c r="AO2" s="1" t="s">
        <v>118</v>
      </c>
      <c r="AP2" s="1" t="str">
        <f>"1"</f>
        <v>1</v>
      </c>
      <c r="AQ2" s="1" t="str">
        <f>"6"</f>
        <v>6</v>
      </c>
      <c r="AR2" s="1" t="str">
        <f>"4"</f>
        <v>4</v>
      </c>
      <c r="AS2" s="1" t="str">
        <f>"4"</f>
        <v>4</v>
      </c>
      <c r="AT2" s="1" t="str">
        <f>"5"</f>
        <v>5</v>
      </c>
      <c r="AU2" s="1" t="str">
        <f>"akmaral_kainarova@mail.ru"</f>
        <v>akmaral_kainarova@mail.ru</v>
      </c>
      <c r="AV2" s="1" t="str">
        <f>"87761210228"</f>
        <v>87761210228</v>
      </c>
      <c r="AW2" s="1" t="s">
        <v>119</v>
      </c>
      <c r="AX2" s="1"/>
      <c r="AY2" s="1"/>
      <c r="AZ2" s="1" t="s">
        <v>120</v>
      </c>
      <c r="BA2" s="1"/>
      <c r="BB2" s="1"/>
      <c r="BC2" s="1"/>
      <c r="BD2" s="1" t="s">
        <v>121</v>
      </c>
      <c r="BE2" s="1" t="s">
        <v>122</v>
      </c>
      <c r="BF2" s="1">
        <v>0</v>
      </c>
      <c r="BG2" s="1" t="str">
        <f>"[0]"</f>
        <v>[0]</v>
      </c>
      <c r="BH2" s="1" t="s">
        <v>118</v>
      </c>
      <c r="BI2" s="1">
        <v>0</v>
      </c>
      <c r="BJ2" s="1"/>
      <c r="BK2" s="1"/>
      <c r="BL2" s="1"/>
      <c r="BM2" s="1"/>
      <c r="BN2" s="1"/>
      <c r="BO2" s="1"/>
      <c r="BP2" s="1"/>
      <c r="BQ2" s="1"/>
      <c r="BR2" s="1"/>
      <c r="BS2" s="1"/>
      <c r="BT2" s="1"/>
      <c r="BU2" s="1" t="s">
        <v>123</v>
      </c>
      <c r="BV2" s="1" t="s">
        <v>121</v>
      </c>
      <c r="BW2" s="1" t="s">
        <v>124</v>
      </c>
      <c r="BX2" s="1" t="s">
        <v>125</v>
      </c>
      <c r="BY2" s="1" t="s">
        <v>126</v>
      </c>
      <c r="BZ2" s="1">
        <v>72</v>
      </c>
      <c r="CA2" s="1" t="s">
        <v>127</v>
      </c>
      <c r="CB2" s="1" t="s">
        <v>128</v>
      </c>
      <c r="CC2" s="1">
        <v>34556</v>
      </c>
      <c r="CD2" s="1" t="s">
        <v>129</v>
      </c>
      <c r="CE2" s="1" t="s">
        <v>130</v>
      </c>
      <c r="CF2" s="1"/>
      <c r="CG2" s="1"/>
      <c r="CH2" s="1"/>
      <c r="CI2" s="1" t="str">
        <f>"0"</f>
        <v>0</v>
      </c>
      <c r="CJ2" s="1"/>
      <c r="CK2" s="1"/>
      <c r="CL2" s="1" t="s">
        <v>131</v>
      </c>
      <c r="CM2" s="1"/>
      <c r="CN2" s="1" t="s">
        <v>132</v>
      </c>
      <c r="CO2" s="1" t="s">
        <v>118</v>
      </c>
    </row>
    <row r="3" spans="1:103" hidden="1" x14ac:dyDescent="0.3">
      <c r="A3" s="1">
        <v>180530</v>
      </c>
      <c r="B3" s="1">
        <v>155648</v>
      </c>
      <c r="C3" s="1" t="str">
        <f>"870722450791"</f>
        <v>870722450791</v>
      </c>
      <c r="D3" s="1" t="s">
        <v>133</v>
      </c>
      <c r="E3" s="1" t="s">
        <v>134</v>
      </c>
      <c r="F3" s="1" t="s">
        <v>135</v>
      </c>
      <c r="G3" s="2">
        <v>31980</v>
      </c>
      <c r="H3" s="1"/>
      <c r="I3" s="1" t="s">
        <v>106</v>
      </c>
      <c r="J3" s="1" t="s">
        <v>107</v>
      </c>
      <c r="K3" s="1" t="s">
        <v>108</v>
      </c>
      <c r="L3" s="1"/>
      <c r="M3" s="1"/>
      <c r="N3" s="1"/>
      <c r="O3" s="1"/>
      <c r="P3" s="1" t="s">
        <v>109</v>
      </c>
      <c r="Q3" s="1" t="s">
        <v>136</v>
      </c>
      <c r="R3" s="1"/>
      <c r="S3" s="1"/>
      <c r="T3" s="1"/>
      <c r="U3" s="1"/>
      <c r="V3" s="1"/>
      <c r="W3" s="1" t="str">
        <f>"2016-08-31T00:00:00"</f>
        <v>2016-08-31T00:00:00</v>
      </c>
      <c r="X3" s="1" t="str">
        <f>"86"</f>
        <v>86</v>
      </c>
      <c r="Y3" s="1"/>
      <c r="Z3" s="1" t="s">
        <v>137</v>
      </c>
      <c r="AA3" s="1" t="s">
        <v>111</v>
      </c>
      <c r="AB3" s="1"/>
      <c r="AC3" s="1"/>
      <c r="AD3" s="1"/>
      <c r="AE3" s="1" t="s">
        <v>138</v>
      </c>
      <c r="AF3" s="1" t="s">
        <v>113</v>
      </c>
      <c r="AG3" s="1">
        <v>1.5</v>
      </c>
      <c r="AH3" s="1" t="s">
        <v>114</v>
      </c>
      <c r="AI3" s="1" t="s">
        <v>115</v>
      </c>
      <c r="AJ3" s="1" t="s">
        <v>116</v>
      </c>
      <c r="AK3" s="1"/>
      <c r="AL3" s="1"/>
      <c r="AM3" s="1"/>
      <c r="AN3" s="1" t="s">
        <v>117</v>
      </c>
      <c r="AO3" s="1" t="s">
        <v>118</v>
      </c>
      <c r="AP3" s="1" t="str">
        <f>"4"</f>
        <v>4</v>
      </c>
      <c r="AQ3" s="1" t="str">
        <f>"11"</f>
        <v>11</v>
      </c>
      <c r="AR3" s="1" t="str">
        <f>"9"</f>
        <v>9</v>
      </c>
      <c r="AS3" s="1" t="str">
        <f>"9"</f>
        <v>9</v>
      </c>
      <c r="AT3" s="1" t="str">
        <f>"7"</f>
        <v>7</v>
      </c>
      <c r="AU3" s="1" t="str">
        <f>"aigulya.smailova.1987@mail.ru"</f>
        <v>aigulya.smailova.1987@mail.ru</v>
      </c>
      <c r="AV3" s="1" t="str">
        <f>"87712676004"</f>
        <v>87712676004</v>
      </c>
      <c r="AW3" s="1" t="s">
        <v>139</v>
      </c>
      <c r="AX3" s="1" t="s">
        <v>140</v>
      </c>
      <c r="AY3" s="1"/>
      <c r="AZ3" s="1" t="s">
        <v>120</v>
      </c>
      <c r="BA3" s="1"/>
      <c r="BB3" s="1"/>
      <c r="BC3" s="1"/>
      <c r="BD3" s="1" t="s">
        <v>141</v>
      </c>
      <c r="BE3" s="1" t="s">
        <v>122</v>
      </c>
      <c r="BF3" s="1">
        <v>1.5</v>
      </c>
      <c r="BG3" s="1" t="str">
        <f>"[24]"</f>
        <v>[24]</v>
      </c>
      <c r="BH3" s="1" t="s">
        <v>118</v>
      </c>
      <c r="BI3" s="1">
        <v>0</v>
      </c>
      <c r="BJ3" s="1"/>
      <c r="BK3" s="1"/>
      <c r="BL3" s="1"/>
      <c r="BM3" s="1"/>
      <c r="BN3" s="1" t="s">
        <v>142</v>
      </c>
      <c r="BO3" s="1"/>
      <c r="BP3" s="1"/>
      <c r="BQ3" s="1"/>
      <c r="BR3" s="1" t="s">
        <v>131</v>
      </c>
      <c r="BS3" s="1"/>
      <c r="BT3" s="1"/>
      <c r="BU3" s="1" t="s">
        <v>123</v>
      </c>
      <c r="BV3" s="1" t="s">
        <v>141</v>
      </c>
      <c r="BW3" s="1" t="s">
        <v>124</v>
      </c>
      <c r="BX3" s="1" t="s">
        <v>125</v>
      </c>
      <c r="BY3" s="1" t="s">
        <v>126</v>
      </c>
      <c r="BZ3" s="1">
        <v>120</v>
      </c>
      <c r="CA3" s="1" t="s">
        <v>143</v>
      </c>
      <c r="CB3" s="1" t="s">
        <v>144</v>
      </c>
      <c r="CC3" s="1">
        <v>152577</v>
      </c>
      <c r="CD3" s="1" t="s">
        <v>141</v>
      </c>
      <c r="CE3" s="1" t="s">
        <v>145</v>
      </c>
      <c r="CF3" s="1" t="s">
        <v>146</v>
      </c>
      <c r="CG3" s="1"/>
      <c r="CH3" s="1"/>
      <c r="CI3" s="1" t="str">
        <f>"0"</f>
        <v>0</v>
      </c>
      <c r="CJ3" s="1"/>
      <c r="CK3" s="1"/>
      <c r="CL3" s="1" t="s">
        <v>131</v>
      </c>
      <c r="CM3" s="1"/>
      <c r="CN3" s="1" t="s">
        <v>132</v>
      </c>
      <c r="CO3" s="1" t="s">
        <v>118</v>
      </c>
    </row>
    <row r="4" spans="1:103" hidden="1" x14ac:dyDescent="0.3">
      <c r="A4" s="1">
        <v>180578</v>
      </c>
      <c r="B4" s="1">
        <v>153295</v>
      </c>
      <c r="C4" s="1" t="str">
        <f>"840828450693"</f>
        <v>840828450693</v>
      </c>
      <c r="D4" s="1" t="s">
        <v>147</v>
      </c>
      <c r="E4" s="1" t="s">
        <v>148</v>
      </c>
      <c r="F4" s="1" t="s">
        <v>149</v>
      </c>
      <c r="G4" s="2">
        <v>30922</v>
      </c>
      <c r="H4" s="1"/>
      <c r="I4" s="1" t="s">
        <v>106</v>
      </c>
      <c r="J4" s="1" t="s">
        <v>107</v>
      </c>
      <c r="K4" s="1" t="s">
        <v>108</v>
      </c>
      <c r="L4" s="1"/>
      <c r="M4" s="1"/>
      <c r="N4" s="1"/>
      <c r="O4" s="1"/>
      <c r="P4" s="1" t="s">
        <v>109</v>
      </c>
      <c r="Q4" s="1" t="s">
        <v>136</v>
      </c>
      <c r="R4" s="1"/>
      <c r="S4" s="1"/>
      <c r="T4" s="1"/>
      <c r="U4" s="1"/>
      <c r="V4" s="1"/>
      <c r="W4" s="1" t="str">
        <f>"2018-08-31T00:00:00"</f>
        <v>2018-08-31T00:00:00</v>
      </c>
      <c r="X4" s="1" t="str">
        <f>"196"</f>
        <v>196</v>
      </c>
      <c r="Y4" s="1"/>
      <c r="Z4" s="1" t="s">
        <v>137</v>
      </c>
      <c r="AA4" s="1" t="s">
        <v>111</v>
      </c>
      <c r="AB4" s="1"/>
      <c r="AC4" s="1"/>
      <c r="AD4" s="1"/>
      <c r="AE4" s="1" t="s">
        <v>138</v>
      </c>
      <c r="AF4" s="1" t="s">
        <v>150</v>
      </c>
      <c r="AG4" s="1">
        <v>1</v>
      </c>
      <c r="AH4" s="1" t="s">
        <v>114</v>
      </c>
      <c r="AI4" s="1" t="s">
        <v>115</v>
      </c>
      <c r="AJ4" s="1" t="s">
        <v>116</v>
      </c>
      <c r="AK4" s="1"/>
      <c r="AL4" s="1"/>
      <c r="AM4" s="1"/>
      <c r="AN4" s="1" t="s">
        <v>117</v>
      </c>
      <c r="AO4" s="1" t="s">
        <v>151</v>
      </c>
      <c r="AP4" s="1" t="str">
        <f>"15"</f>
        <v>15</v>
      </c>
      <c r="AQ4" s="1" t="str">
        <f>"20"</f>
        <v>20</v>
      </c>
      <c r="AR4" s="1" t="str">
        <f>"15"</f>
        <v>15</v>
      </c>
      <c r="AS4" s="1" t="str">
        <f>"15"</f>
        <v>15</v>
      </c>
      <c r="AT4" s="1" t="str">
        <f>"5"</f>
        <v>5</v>
      </c>
      <c r="AU4" s="1" t="str">
        <f>"aliya.zhakupova.84@inbox.ru"</f>
        <v>aliya.zhakupova.84@inbox.ru</v>
      </c>
      <c r="AV4" s="1" t="str">
        <f>"87777243670"</f>
        <v>87777243670</v>
      </c>
      <c r="AW4" s="1" t="s">
        <v>152</v>
      </c>
      <c r="AX4" s="1" t="s">
        <v>153</v>
      </c>
      <c r="AY4" s="1"/>
      <c r="AZ4" s="1" t="s">
        <v>120</v>
      </c>
      <c r="BA4" s="1"/>
      <c r="BB4" s="1"/>
      <c r="BC4" s="1"/>
      <c r="BD4" s="1"/>
      <c r="BE4" s="1"/>
      <c r="BF4" s="1"/>
      <c r="BG4" s="1"/>
      <c r="BH4" s="1" t="s">
        <v>118</v>
      </c>
      <c r="BI4" s="1">
        <v>0</v>
      </c>
      <c r="BJ4" s="1"/>
      <c r="BK4" s="1"/>
      <c r="BL4" s="1"/>
      <c r="BM4" s="1"/>
      <c r="BN4" s="1" t="s">
        <v>154</v>
      </c>
      <c r="BO4" s="1"/>
      <c r="BP4" s="1"/>
      <c r="BQ4" s="1"/>
      <c r="BR4" s="1" t="s">
        <v>131</v>
      </c>
      <c r="BS4" s="1"/>
      <c r="BT4" s="1"/>
      <c r="BU4" s="1" t="s">
        <v>155</v>
      </c>
      <c r="BV4" s="1" t="s">
        <v>156</v>
      </c>
      <c r="BW4" s="1" t="s">
        <v>157</v>
      </c>
      <c r="BX4" s="1" t="s">
        <v>158</v>
      </c>
      <c r="BY4" s="1" t="s">
        <v>159</v>
      </c>
      <c r="BZ4" s="1" t="s">
        <v>160</v>
      </c>
      <c r="CA4" s="1" t="s">
        <v>161</v>
      </c>
      <c r="CB4" s="1" t="s">
        <v>162</v>
      </c>
      <c r="CC4" s="1" t="s">
        <v>163</v>
      </c>
      <c r="CD4" s="1" t="s">
        <v>164</v>
      </c>
      <c r="CE4" s="1" t="s">
        <v>130</v>
      </c>
      <c r="CF4" s="1"/>
      <c r="CG4" s="1"/>
      <c r="CH4" s="1"/>
      <c r="CI4" s="1"/>
      <c r="CJ4" s="1"/>
      <c r="CK4" s="1"/>
      <c r="CL4" s="1" t="s">
        <v>131</v>
      </c>
      <c r="CM4" s="1"/>
      <c r="CN4" s="1" t="s">
        <v>132</v>
      </c>
      <c r="CO4" s="1"/>
    </row>
    <row r="5" spans="1:103" hidden="1" x14ac:dyDescent="0.3">
      <c r="A5" s="1">
        <v>180599</v>
      </c>
      <c r="B5" s="1">
        <v>155706</v>
      </c>
      <c r="C5" s="1" t="str">
        <f>"940218451676"</f>
        <v>940218451676</v>
      </c>
      <c r="D5" s="1" t="s">
        <v>165</v>
      </c>
      <c r="E5" s="1" t="s">
        <v>166</v>
      </c>
      <c r="F5" s="1" t="s">
        <v>167</v>
      </c>
      <c r="G5" s="2">
        <v>34383</v>
      </c>
      <c r="H5" s="1"/>
      <c r="I5" s="1" t="s">
        <v>106</v>
      </c>
      <c r="J5" s="1" t="s">
        <v>107</v>
      </c>
      <c r="K5" s="1" t="s">
        <v>108</v>
      </c>
      <c r="L5" s="1"/>
      <c r="M5" s="1"/>
      <c r="N5" s="1"/>
      <c r="O5" s="1"/>
      <c r="P5" s="1" t="s">
        <v>109</v>
      </c>
      <c r="Q5" s="1"/>
      <c r="R5" s="1"/>
      <c r="S5" s="1"/>
      <c r="T5" s="1"/>
      <c r="U5" s="1"/>
      <c r="V5" s="1"/>
      <c r="W5" s="1" t="str">
        <f>"2017-01-10T00:00:00"</f>
        <v>2017-01-10T00:00:00</v>
      </c>
      <c r="X5" s="1" t="str">
        <f>"7"</f>
        <v>7</v>
      </c>
      <c r="Y5" s="1"/>
      <c r="Z5" s="1" t="s">
        <v>168</v>
      </c>
      <c r="AA5" s="1" t="s">
        <v>111</v>
      </c>
      <c r="AB5" s="1"/>
      <c r="AC5" s="1"/>
      <c r="AD5" s="1"/>
      <c r="AE5" s="1" t="s">
        <v>138</v>
      </c>
      <c r="AF5" s="1" t="s">
        <v>169</v>
      </c>
      <c r="AG5" s="1">
        <v>1</v>
      </c>
      <c r="AH5" s="1" t="s">
        <v>114</v>
      </c>
      <c r="AI5" s="1" t="s">
        <v>115</v>
      </c>
      <c r="AJ5" s="1" t="s">
        <v>116</v>
      </c>
      <c r="AK5" s="1"/>
      <c r="AL5" s="1"/>
      <c r="AM5" s="1"/>
      <c r="AN5" s="1" t="s">
        <v>117</v>
      </c>
      <c r="AO5" s="1" t="s">
        <v>118</v>
      </c>
      <c r="AP5" s="1" t="str">
        <f>"0"</f>
        <v>0</v>
      </c>
      <c r="AQ5" s="1" t="str">
        <f>"7"</f>
        <v>7</v>
      </c>
      <c r="AR5" s="1" t="str">
        <f>"6"</f>
        <v>6</v>
      </c>
      <c r="AS5" s="1" t="str">
        <f>"6"</f>
        <v>6</v>
      </c>
      <c r="AT5" s="1" t="str">
        <f>"7"</f>
        <v>7</v>
      </c>
      <c r="AU5" s="1" t="str">
        <f>"aubakirova.nazerke94@mail.ru"</f>
        <v>aubakirova.nazerke94@mail.ru</v>
      </c>
      <c r="AV5" s="1" t="str">
        <f>"87164556515"</f>
        <v>87164556515</v>
      </c>
      <c r="AW5" s="1" t="s">
        <v>119</v>
      </c>
      <c r="AX5" s="1"/>
      <c r="AY5" s="1"/>
      <c r="AZ5" s="1" t="s">
        <v>170</v>
      </c>
      <c r="BA5" s="1"/>
      <c r="BB5" s="1"/>
      <c r="BC5" s="1"/>
      <c r="BD5" s="1"/>
      <c r="BE5" s="1"/>
      <c r="BF5" s="1"/>
      <c r="BG5" s="1"/>
      <c r="BH5" s="1" t="s">
        <v>118</v>
      </c>
      <c r="BI5" s="1">
        <v>0</v>
      </c>
      <c r="BJ5" s="1" t="s">
        <v>119</v>
      </c>
      <c r="BK5" s="1"/>
      <c r="BL5" s="1"/>
      <c r="BM5" s="1"/>
      <c r="BN5" s="1" t="s">
        <v>142</v>
      </c>
      <c r="BO5" s="1"/>
      <c r="BP5" s="1"/>
      <c r="BQ5" s="1"/>
      <c r="BR5" s="1" t="s">
        <v>131</v>
      </c>
      <c r="BS5" s="1"/>
      <c r="BT5" s="1"/>
      <c r="BU5" s="1" t="s">
        <v>171</v>
      </c>
      <c r="BV5" s="1" t="s">
        <v>172</v>
      </c>
      <c r="BW5" s="1" t="s">
        <v>173</v>
      </c>
      <c r="BX5" s="1" t="s">
        <v>174</v>
      </c>
      <c r="BY5" s="1" t="s">
        <v>175</v>
      </c>
      <c r="BZ5" s="1" t="s">
        <v>176</v>
      </c>
      <c r="CA5" s="1" t="s">
        <v>177</v>
      </c>
      <c r="CB5" s="1" t="s">
        <v>178</v>
      </c>
      <c r="CC5" s="1" t="s">
        <v>179</v>
      </c>
      <c r="CD5" s="1" t="s">
        <v>164</v>
      </c>
      <c r="CE5" s="1" t="s">
        <v>130</v>
      </c>
      <c r="CF5" s="1"/>
      <c r="CG5" s="1"/>
      <c r="CH5" s="1"/>
      <c r="CI5" s="1" t="str">
        <f t="shared" ref="CI5:CI28" si="0">"0"</f>
        <v>0</v>
      </c>
      <c r="CJ5" s="1"/>
      <c r="CK5" s="1"/>
      <c r="CL5" s="1" t="s">
        <v>136</v>
      </c>
      <c r="CM5" s="1"/>
      <c r="CN5" s="1" t="s">
        <v>132</v>
      </c>
      <c r="CO5" s="1" t="s">
        <v>118</v>
      </c>
    </row>
    <row r="6" spans="1:103" hidden="1" x14ac:dyDescent="0.3">
      <c r="A6" s="1">
        <v>180605</v>
      </c>
      <c r="B6" s="1">
        <v>155711</v>
      </c>
      <c r="C6" s="1" t="str">
        <f>"911005401827"</f>
        <v>911005401827</v>
      </c>
      <c r="D6" s="1" t="s">
        <v>180</v>
      </c>
      <c r="E6" s="1" t="s">
        <v>181</v>
      </c>
      <c r="F6" s="1" t="s">
        <v>182</v>
      </c>
      <c r="G6" s="2">
        <v>33516</v>
      </c>
      <c r="H6" s="1"/>
      <c r="I6" s="1" t="s">
        <v>106</v>
      </c>
      <c r="J6" s="1" t="s">
        <v>107</v>
      </c>
      <c r="K6" s="1" t="s">
        <v>108</v>
      </c>
      <c r="L6" s="1"/>
      <c r="M6" s="1"/>
      <c r="N6" s="1"/>
      <c r="O6" s="1"/>
      <c r="P6" s="1" t="s">
        <v>109</v>
      </c>
      <c r="Q6" s="1"/>
      <c r="R6" s="1"/>
      <c r="S6" s="1"/>
      <c r="T6" s="1"/>
      <c r="U6" s="1"/>
      <c r="V6" s="1"/>
      <c r="W6" s="1" t="str">
        <f>"2017-08-28T00:00:00"</f>
        <v>2017-08-28T00:00:00</v>
      </c>
      <c r="X6" s="1" t="str">
        <f>"138"</f>
        <v>138</v>
      </c>
      <c r="Y6" s="1"/>
      <c r="Z6" s="1" t="s">
        <v>137</v>
      </c>
      <c r="AA6" s="1" t="s">
        <v>111</v>
      </c>
      <c r="AB6" s="1"/>
      <c r="AC6" s="1"/>
      <c r="AD6" s="1"/>
      <c r="AE6" s="1" t="s">
        <v>138</v>
      </c>
      <c r="AF6" s="1" t="s">
        <v>113</v>
      </c>
      <c r="AG6" s="1">
        <v>1.5</v>
      </c>
      <c r="AH6" s="1" t="s">
        <v>114</v>
      </c>
      <c r="AI6" s="1" t="s">
        <v>115</v>
      </c>
      <c r="AJ6" s="1" t="s">
        <v>116</v>
      </c>
      <c r="AK6" s="1"/>
      <c r="AL6" s="1"/>
      <c r="AM6" s="1"/>
      <c r="AN6" s="1" t="s">
        <v>117</v>
      </c>
      <c r="AO6" s="1" t="s">
        <v>118</v>
      </c>
      <c r="AP6" s="1" t="str">
        <f>"1"</f>
        <v>1</v>
      </c>
      <c r="AQ6" s="1" t="str">
        <f>"7"</f>
        <v>7</v>
      </c>
      <c r="AR6" s="1" t="str">
        <f>"7"</f>
        <v>7</v>
      </c>
      <c r="AS6" s="1" t="str">
        <f>"7"</f>
        <v>7</v>
      </c>
      <c r="AT6" s="1" t="str">
        <f>"6"</f>
        <v>6</v>
      </c>
      <c r="AU6" s="1" t="str">
        <f>"rachidinova.akerke@bk.ru"</f>
        <v>rachidinova.akerke@bk.ru</v>
      </c>
      <c r="AV6" s="1" t="str">
        <f>"87789298338"</f>
        <v>87789298338</v>
      </c>
      <c r="AW6" s="1" t="s">
        <v>119</v>
      </c>
      <c r="AX6" s="1"/>
      <c r="AY6" s="1"/>
      <c r="AZ6" s="1" t="s">
        <v>183</v>
      </c>
      <c r="BA6" s="1"/>
      <c r="BB6" s="1"/>
      <c r="BC6" s="1"/>
      <c r="BD6" s="1" t="s">
        <v>184</v>
      </c>
      <c r="BE6" s="1" t="s">
        <v>122</v>
      </c>
      <c r="BF6" s="1">
        <v>1.5</v>
      </c>
      <c r="BG6" s="1" t="str">
        <f>"[24]"</f>
        <v>[24]</v>
      </c>
      <c r="BH6" s="1" t="s">
        <v>118</v>
      </c>
      <c r="BI6" s="1">
        <v>0</v>
      </c>
      <c r="BJ6" s="1"/>
      <c r="BK6" s="1"/>
      <c r="BL6" s="1"/>
      <c r="BM6" s="1"/>
      <c r="BN6" s="1" t="s">
        <v>154</v>
      </c>
      <c r="BO6" s="1"/>
      <c r="BP6" s="1"/>
      <c r="BQ6" s="1"/>
      <c r="BR6" s="1" t="s">
        <v>131</v>
      </c>
      <c r="BS6" s="1"/>
      <c r="BT6" s="1"/>
      <c r="BU6" s="1" t="s">
        <v>185</v>
      </c>
      <c r="BV6" s="1" t="s">
        <v>186</v>
      </c>
      <c r="BW6" s="1" t="s">
        <v>187</v>
      </c>
      <c r="BX6" s="1" t="s">
        <v>174</v>
      </c>
      <c r="BY6" s="1" t="s">
        <v>175</v>
      </c>
      <c r="BZ6" s="1" t="s">
        <v>188</v>
      </c>
      <c r="CA6" s="1" t="s">
        <v>189</v>
      </c>
      <c r="CB6" s="1" t="s">
        <v>190</v>
      </c>
      <c r="CC6" s="1" t="s">
        <v>191</v>
      </c>
      <c r="CD6" s="1" t="s">
        <v>184</v>
      </c>
      <c r="CE6" s="1" t="s">
        <v>192</v>
      </c>
      <c r="CF6" s="1" t="s">
        <v>146</v>
      </c>
      <c r="CG6" s="1"/>
      <c r="CH6" s="1"/>
      <c r="CI6" s="1" t="str">
        <f t="shared" si="0"/>
        <v>0</v>
      </c>
      <c r="CJ6" s="1"/>
      <c r="CK6" s="1"/>
      <c r="CL6" s="1" t="s">
        <v>131</v>
      </c>
      <c r="CM6" s="1"/>
      <c r="CN6" s="1" t="s">
        <v>193</v>
      </c>
      <c r="CO6" s="1" t="s">
        <v>194</v>
      </c>
    </row>
    <row r="7" spans="1:103" hidden="1" x14ac:dyDescent="0.3">
      <c r="A7" s="1">
        <v>180611</v>
      </c>
      <c r="B7" s="1">
        <v>155717</v>
      </c>
      <c r="C7" s="1" t="str">
        <f>"861026450868"</f>
        <v>861026450868</v>
      </c>
      <c r="D7" s="1" t="s">
        <v>195</v>
      </c>
      <c r="E7" s="1" t="s">
        <v>196</v>
      </c>
      <c r="F7" s="1" t="s">
        <v>197</v>
      </c>
      <c r="G7" s="2">
        <v>31711</v>
      </c>
      <c r="H7" s="1"/>
      <c r="I7" s="1" t="s">
        <v>106</v>
      </c>
      <c r="J7" s="1" t="s">
        <v>107</v>
      </c>
      <c r="K7" s="1" t="s">
        <v>198</v>
      </c>
      <c r="L7" s="1"/>
      <c r="M7" s="1"/>
      <c r="N7" s="1"/>
      <c r="O7" s="1"/>
      <c r="P7" s="1" t="s">
        <v>109</v>
      </c>
      <c r="Q7" s="1" t="s">
        <v>136</v>
      </c>
      <c r="R7" s="1"/>
      <c r="S7" s="1"/>
      <c r="T7" s="1"/>
      <c r="U7" s="1"/>
      <c r="V7" s="1"/>
      <c r="W7" s="1" t="str">
        <f>"2017-08-28T00:00:00"</f>
        <v>2017-08-28T00:00:00</v>
      </c>
      <c r="X7" s="1" t="str">
        <f>"139"</f>
        <v>139</v>
      </c>
      <c r="Y7" s="1"/>
      <c r="Z7" s="1" t="s">
        <v>199</v>
      </c>
      <c r="AA7" s="1" t="s">
        <v>111</v>
      </c>
      <c r="AB7" s="1"/>
      <c r="AC7" s="1"/>
      <c r="AD7" s="1"/>
      <c r="AE7" s="1" t="s">
        <v>138</v>
      </c>
      <c r="AF7" s="1" t="s">
        <v>200</v>
      </c>
      <c r="AG7" s="1">
        <v>1.5</v>
      </c>
      <c r="AH7" s="1" t="s">
        <v>114</v>
      </c>
      <c r="AI7" s="1" t="s">
        <v>115</v>
      </c>
      <c r="AJ7" s="1" t="s">
        <v>201</v>
      </c>
      <c r="AK7" s="1"/>
      <c r="AL7" s="1"/>
      <c r="AM7" s="1"/>
      <c r="AN7" s="1" t="s">
        <v>117</v>
      </c>
      <c r="AO7" s="1" t="s">
        <v>118</v>
      </c>
      <c r="AP7" s="1" t="str">
        <f>"7"</f>
        <v>7</v>
      </c>
      <c r="AQ7" s="1" t="str">
        <f>"13"</f>
        <v>13</v>
      </c>
      <c r="AR7" s="1" t="str">
        <f>"7"</f>
        <v>7</v>
      </c>
      <c r="AS7" s="1" t="str">
        <f>"7"</f>
        <v>7</v>
      </c>
      <c r="AT7" s="1" t="str">
        <f>"6"</f>
        <v>6</v>
      </c>
      <c r="AU7" s="1" t="str">
        <f>"alena_tokarchik@mail.ru"</f>
        <v>alena_tokarchik@mail.ru</v>
      </c>
      <c r="AV7" s="1" t="str">
        <f>"87472259629"</f>
        <v>87472259629</v>
      </c>
      <c r="AW7" s="1" t="s">
        <v>152</v>
      </c>
      <c r="AX7" s="1" t="s">
        <v>202</v>
      </c>
      <c r="AY7" s="1" t="s">
        <v>203</v>
      </c>
      <c r="AZ7" s="1" t="s">
        <v>204</v>
      </c>
      <c r="BA7" s="1"/>
      <c r="BB7" s="1"/>
      <c r="BC7" s="1"/>
      <c r="BD7" s="1" t="s">
        <v>205</v>
      </c>
      <c r="BE7" s="1" t="s">
        <v>206</v>
      </c>
      <c r="BF7" s="1">
        <v>1.5</v>
      </c>
      <c r="BG7" s="1" t="str">
        <f>"[24]"</f>
        <v>[24]</v>
      </c>
      <c r="BH7" s="1" t="s">
        <v>207</v>
      </c>
      <c r="BI7" s="1">
        <v>0.5</v>
      </c>
      <c r="BJ7" s="1" t="s">
        <v>119</v>
      </c>
      <c r="BK7" s="1"/>
      <c r="BL7" s="1" t="s">
        <v>164</v>
      </c>
      <c r="BM7" s="1">
        <v>0</v>
      </c>
      <c r="BN7" s="1" t="s">
        <v>154</v>
      </c>
      <c r="BO7" s="1"/>
      <c r="BP7" s="1"/>
      <c r="BQ7" s="1"/>
      <c r="BR7" s="1" t="s">
        <v>131</v>
      </c>
      <c r="BS7" s="1"/>
      <c r="BT7" s="1"/>
      <c r="BU7" s="1" t="s">
        <v>185</v>
      </c>
      <c r="BV7" s="1" t="s">
        <v>208</v>
      </c>
      <c r="BW7" s="1" t="s">
        <v>187</v>
      </c>
      <c r="BX7" s="1" t="s">
        <v>174</v>
      </c>
      <c r="BY7" s="1" t="s">
        <v>209</v>
      </c>
      <c r="BZ7" s="1" t="s">
        <v>188</v>
      </c>
      <c r="CA7" s="1" t="s">
        <v>210</v>
      </c>
      <c r="CB7" s="1" t="s">
        <v>211</v>
      </c>
      <c r="CC7" s="1" t="s">
        <v>212</v>
      </c>
      <c r="CD7" s="1" t="s">
        <v>184</v>
      </c>
      <c r="CE7" s="1" t="s">
        <v>213</v>
      </c>
      <c r="CF7" s="3">
        <v>45383</v>
      </c>
      <c r="CG7" s="1"/>
      <c r="CH7" s="1"/>
      <c r="CI7" s="1" t="str">
        <f t="shared" si="0"/>
        <v>0</v>
      </c>
      <c r="CJ7" s="1"/>
      <c r="CK7" s="1"/>
      <c r="CL7" s="1" t="s">
        <v>131</v>
      </c>
      <c r="CM7" s="1"/>
      <c r="CN7" s="1" t="s">
        <v>132</v>
      </c>
      <c r="CO7" s="1" t="s">
        <v>194</v>
      </c>
    </row>
    <row r="8" spans="1:103" hidden="1" x14ac:dyDescent="0.3">
      <c r="A8" s="1">
        <v>180632</v>
      </c>
      <c r="B8" s="1">
        <v>155731</v>
      </c>
      <c r="C8" s="1" t="str">
        <f>"741109401479"</f>
        <v>741109401479</v>
      </c>
      <c r="D8" s="1" t="s">
        <v>214</v>
      </c>
      <c r="E8" s="1" t="s">
        <v>215</v>
      </c>
      <c r="F8" s="1" t="s">
        <v>216</v>
      </c>
      <c r="G8" s="2">
        <v>27342</v>
      </c>
      <c r="H8" s="1"/>
      <c r="I8" s="1" t="s">
        <v>106</v>
      </c>
      <c r="J8" s="1" t="s">
        <v>107</v>
      </c>
      <c r="K8" s="1" t="s">
        <v>108</v>
      </c>
      <c r="L8" s="1"/>
      <c r="M8" s="1"/>
      <c r="N8" s="1"/>
      <c r="O8" s="1"/>
      <c r="P8" s="1" t="s">
        <v>109</v>
      </c>
      <c r="Q8" s="1" t="s">
        <v>136</v>
      </c>
      <c r="R8" s="1"/>
      <c r="S8" s="1"/>
      <c r="T8" s="1"/>
      <c r="U8" s="1"/>
      <c r="V8" s="1"/>
      <c r="W8" s="1" t="str">
        <f>"2022-12-15T00:00:00"</f>
        <v>2022-12-15T00:00:00</v>
      </c>
      <c r="X8" s="1" t="str">
        <f>"357"</f>
        <v>357</v>
      </c>
      <c r="Y8" s="1"/>
      <c r="Z8" s="1" t="s">
        <v>137</v>
      </c>
      <c r="AA8" s="1" t="s">
        <v>111</v>
      </c>
      <c r="AB8" s="1"/>
      <c r="AC8" s="1"/>
      <c r="AD8" s="1"/>
      <c r="AE8" s="1" t="s">
        <v>138</v>
      </c>
      <c r="AF8" s="1" t="s">
        <v>217</v>
      </c>
      <c r="AG8" s="1">
        <v>1</v>
      </c>
      <c r="AH8" s="1" t="s">
        <v>114</v>
      </c>
      <c r="AI8" s="1" t="s">
        <v>218</v>
      </c>
      <c r="AJ8" s="1" t="s">
        <v>219</v>
      </c>
      <c r="AK8" s="1"/>
      <c r="AL8" s="1"/>
      <c r="AM8" s="1"/>
      <c r="AN8" s="1" t="s">
        <v>117</v>
      </c>
      <c r="AO8" s="1" t="s">
        <v>118</v>
      </c>
      <c r="AP8" s="1" t="str">
        <f>"28"</f>
        <v>28</v>
      </c>
      <c r="AQ8" s="1" t="str">
        <f>"29"</f>
        <v>29</v>
      </c>
      <c r="AR8" s="1" t="str">
        <f>"28"</f>
        <v>28</v>
      </c>
      <c r="AS8" s="1" t="str">
        <f>"28"</f>
        <v>28</v>
      </c>
      <c r="AT8" s="1" t="str">
        <f>"1"</f>
        <v>1</v>
      </c>
      <c r="AU8" s="1" t="str">
        <f>"dametken.ospanova@mail.ru"</f>
        <v>dametken.ospanova@mail.ru</v>
      </c>
      <c r="AV8" s="1" t="str">
        <f>"87713749074"</f>
        <v>87713749074</v>
      </c>
      <c r="AW8" s="1" t="s">
        <v>220</v>
      </c>
      <c r="AX8" s="1" t="s">
        <v>221</v>
      </c>
      <c r="AY8" s="1" t="s">
        <v>222</v>
      </c>
      <c r="AZ8" s="1" t="s">
        <v>170</v>
      </c>
      <c r="BA8" s="1"/>
      <c r="BB8" s="1"/>
      <c r="BC8" s="1"/>
      <c r="BD8" s="1" t="s">
        <v>205</v>
      </c>
      <c r="BE8" s="1" t="s">
        <v>122</v>
      </c>
      <c r="BF8" s="1">
        <v>0.5</v>
      </c>
      <c r="BG8" s="1" t="str">
        <f>"[8]"</f>
        <v>[8]</v>
      </c>
      <c r="BH8" s="1" t="s">
        <v>118</v>
      </c>
      <c r="BI8" s="1">
        <v>0</v>
      </c>
      <c r="BJ8" s="1"/>
      <c r="BK8" s="1"/>
      <c r="BL8" s="1"/>
      <c r="BM8" s="1"/>
      <c r="BN8" s="1" t="s">
        <v>154</v>
      </c>
      <c r="BO8" s="1"/>
      <c r="BP8" s="1"/>
      <c r="BQ8" s="1"/>
      <c r="BR8" s="1" t="s">
        <v>131</v>
      </c>
      <c r="BS8" s="1"/>
      <c r="BT8" s="1"/>
      <c r="BU8" s="1" t="s">
        <v>171</v>
      </c>
      <c r="BV8" s="1" t="s">
        <v>223</v>
      </c>
      <c r="BW8" s="1" t="s">
        <v>224</v>
      </c>
      <c r="BX8" s="1" t="s">
        <v>174</v>
      </c>
      <c r="BY8" s="1" t="s">
        <v>175</v>
      </c>
      <c r="BZ8" s="1" t="s">
        <v>225</v>
      </c>
      <c r="CA8" s="1" t="s">
        <v>226</v>
      </c>
      <c r="CB8" s="1" t="s">
        <v>227</v>
      </c>
      <c r="CC8" s="1" t="s">
        <v>228</v>
      </c>
      <c r="CD8" s="1" t="s">
        <v>164</v>
      </c>
      <c r="CE8" s="1" t="s">
        <v>229</v>
      </c>
      <c r="CF8" s="3">
        <v>45383</v>
      </c>
      <c r="CG8" s="1"/>
      <c r="CH8" s="1"/>
      <c r="CI8" s="1" t="str">
        <f t="shared" si="0"/>
        <v>0</v>
      </c>
      <c r="CJ8" s="1"/>
      <c r="CK8" s="1"/>
      <c r="CL8" s="1" t="s">
        <v>136</v>
      </c>
      <c r="CM8" s="1"/>
      <c r="CN8" s="1" t="s">
        <v>132</v>
      </c>
      <c r="CO8" s="1" t="s">
        <v>230</v>
      </c>
    </row>
    <row r="9" spans="1:103" hidden="1" x14ac:dyDescent="0.3">
      <c r="A9" s="1">
        <v>180644</v>
      </c>
      <c r="B9" s="1">
        <v>155743</v>
      </c>
      <c r="C9" s="1" t="str">
        <f>"940708401435"</f>
        <v>940708401435</v>
      </c>
      <c r="D9" s="1" t="s">
        <v>231</v>
      </c>
      <c r="E9" s="1" t="s">
        <v>232</v>
      </c>
      <c r="F9" s="1" t="s">
        <v>149</v>
      </c>
      <c r="G9" s="2">
        <v>34523</v>
      </c>
      <c r="H9" s="1"/>
      <c r="I9" s="1" t="s">
        <v>106</v>
      </c>
      <c r="J9" s="1" t="s">
        <v>107</v>
      </c>
      <c r="K9" s="1" t="s">
        <v>108</v>
      </c>
      <c r="L9" s="1"/>
      <c r="M9" s="1"/>
      <c r="N9" s="1"/>
      <c r="O9" s="1"/>
      <c r="P9" s="1" t="s">
        <v>109</v>
      </c>
      <c r="Q9" s="1" t="s">
        <v>136</v>
      </c>
      <c r="R9" s="1"/>
      <c r="S9" s="1"/>
      <c r="T9" s="1"/>
      <c r="U9" s="1"/>
      <c r="V9" s="1"/>
      <c r="W9" s="1" t="str">
        <f>"2017-08-29T00:00:00"</f>
        <v>2017-08-29T00:00:00</v>
      </c>
      <c r="X9" s="1" t="str">
        <f>"144"</f>
        <v>144</v>
      </c>
      <c r="Y9" s="1"/>
      <c r="Z9" s="1" t="s">
        <v>137</v>
      </c>
      <c r="AA9" s="1" t="s">
        <v>111</v>
      </c>
      <c r="AB9" s="1"/>
      <c r="AC9" s="1"/>
      <c r="AD9" s="1"/>
      <c r="AE9" s="1" t="s">
        <v>138</v>
      </c>
      <c r="AF9" s="1" t="s">
        <v>113</v>
      </c>
      <c r="AG9" s="1">
        <v>1.1000000000000001</v>
      </c>
      <c r="AH9" s="1" t="s">
        <v>114</v>
      </c>
      <c r="AI9" s="1" t="s">
        <v>115</v>
      </c>
      <c r="AJ9" s="1" t="s">
        <v>116</v>
      </c>
      <c r="AK9" s="1"/>
      <c r="AL9" s="1"/>
      <c r="AM9" s="1"/>
      <c r="AN9" s="1" t="s">
        <v>117</v>
      </c>
      <c r="AO9" s="1" t="s">
        <v>118</v>
      </c>
      <c r="AP9" s="1" t="str">
        <f>"3"</f>
        <v>3</v>
      </c>
      <c r="AQ9" s="1" t="str">
        <f>"9"</f>
        <v>9</v>
      </c>
      <c r="AR9" s="1" t="str">
        <f>"9"</f>
        <v>9</v>
      </c>
      <c r="AS9" s="1" t="str">
        <f>"9"</f>
        <v>9</v>
      </c>
      <c r="AT9" s="1" t="str">
        <f>"6"</f>
        <v>6</v>
      </c>
      <c r="AU9" s="1" t="str">
        <f>"altyn0807@mail.ru"</f>
        <v>altyn0807@mail.ru</v>
      </c>
      <c r="AV9" s="1" t="str">
        <f>"87770402367"</f>
        <v>87770402367</v>
      </c>
      <c r="AW9" s="1" t="s">
        <v>139</v>
      </c>
      <c r="AX9" s="1" t="s">
        <v>153</v>
      </c>
      <c r="AY9" s="1"/>
      <c r="AZ9" s="1" t="s">
        <v>120</v>
      </c>
      <c r="BA9" s="1"/>
      <c r="BB9" s="1"/>
      <c r="BC9" s="1"/>
      <c r="BD9" s="1" t="s">
        <v>141</v>
      </c>
      <c r="BE9" s="1" t="s">
        <v>122</v>
      </c>
      <c r="BF9" s="1">
        <v>1.1000000000000001</v>
      </c>
      <c r="BG9" s="1" t="str">
        <f>"[18]"</f>
        <v>[18]</v>
      </c>
      <c r="BH9" s="1" t="s">
        <v>118</v>
      </c>
      <c r="BI9" s="1">
        <v>0</v>
      </c>
      <c r="BJ9" s="1"/>
      <c r="BK9" s="1"/>
      <c r="BL9" s="1"/>
      <c r="BM9" s="1"/>
      <c r="BN9" s="1" t="s">
        <v>142</v>
      </c>
      <c r="BO9" s="1"/>
      <c r="BP9" s="1"/>
      <c r="BQ9" s="1"/>
      <c r="BR9" s="1" t="s">
        <v>131</v>
      </c>
      <c r="BS9" s="1"/>
      <c r="BT9" s="1"/>
      <c r="BU9" s="1" t="s">
        <v>171</v>
      </c>
      <c r="BV9" s="1" t="s">
        <v>233</v>
      </c>
      <c r="BW9" s="1" t="s">
        <v>224</v>
      </c>
      <c r="BX9" s="1" t="s">
        <v>174</v>
      </c>
      <c r="BY9" s="1" t="s">
        <v>175</v>
      </c>
      <c r="BZ9" s="1" t="s">
        <v>225</v>
      </c>
      <c r="CA9" s="1" t="s">
        <v>234</v>
      </c>
      <c r="CB9" s="1" t="s">
        <v>235</v>
      </c>
      <c r="CC9" s="1" t="s">
        <v>236</v>
      </c>
      <c r="CD9" s="1" t="s">
        <v>141</v>
      </c>
      <c r="CE9" s="1" t="s">
        <v>237</v>
      </c>
      <c r="CF9" s="1" t="s">
        <v>146</v>
      </c>
      <c r="CG9" s="1"/>
      <c r="CH9" s="1"/>
      <c r="CI9" s="1" t="str">
        <f t="shared" si="0"/>
        <v>0</v>
      </c>
      <c r="CJ9" s="1"/>
      <c r="CK9" s="1"/>
      <c r="CL9" s="1" t="s">
        <v>136</v>
      </c>
      <c r="CM9" s="1"/>
      <c r="CN9" s="1" t="s">
        <v>132</v>
      </c>
      <c r="CO9" s="1" t="s">
        <v>118</v>
      </c>
    </row>
    <row r="10" spans="1:103" hidden="1" x14ac:dyDescent="0.3">
      <c r="A10" s="1">
        <v>180653</v>
      </c>
      <c r="B10" s="1">
        <v>155749</v>
      </c>
      <c r="C10" s="1" t="str">
        <f>"670523450252"</f>
        <v>670523450252</v>
      </c>
      <c r="D10" s="1" t="s">
        <v>238</v>
      </c>
      <c r="E10" s="1" t="s">
        <v>239</v>
      </c>
      <c r="F10" s="1" t="s">
        <v>240</v>
      </c>
      <c r="G10" s="2">
        <v>24615</v>
      </c>
      <c r="H10" s="1"/>
      <c r="I10" s="1" t="s">
        <v>106</v>
      </c>
      <c r="J10" s="1" t="s">
        <v>107</v>
      </c>
      <c r="K10" s="1" t="s">
        <v>108</v>
      </c>
      <c r="L10" s="1"/>
      <c r="M10" s="1"/>
      <c r="N10" s="1"/>
      <c r="O10" s="1"/>
      <c r="P10" s="1" t="s">
        <v>109</v>
      </c>
      <c r="Q10" s="1" t="s">
        <v>136</v>
      </c>
      <c r="R10" s="1"/>
      <c r="S10" s="1"/>
      <c r="T10" s="1"/>
      <c r="U10" s="1"/>
      <c r="V10" s="1"/>
      <c r="W10" s="1" t="str">
        <f>"2017-09-02T00:00:00"</f>
        <v>2017-09-02T00:00:00</v>
      </c>
      <c r="X10" s="1" t="str">
        <f>"150"</f>
        <v>150</v>
      </c>
      <c r="Y10" s="1"/>
      <c r="Z10" s="1" t="s">
        <v>137</v>
      </c>
      <c r="AA10" s="1" t="s">
        <v>111</v>
      </c>
      <c r="AB10" s="1"/>
      <c r="AC10" s="1"/>
      <c r="AD10" s="1"/>
      <c r="AE10" s="1" t="s">
        <v>138</v>
      </c>
      <c r="AF10" s="1" t="s">
        <v>113</v>
      </c>
      <c r="AG10" s="1">
        <v>1.5</v>
      </c>
      <c r="AH10" s="1" t="s">
        <v>114</v>
      </c>
      <c r="AI10" s="1" t="s">
        <v>115</v>
      </c>
      <c r="AJ10" s="1" t="s">
        <v>116</v>
      </c>
      <c r="AK10" s="1"/>
      <c r="AL10" s="1"/>
      <c r="AM10" s="1"/>
      <c r="AN10" s="1" t="s">
        <v>117</v>
      </c>
      <c r="AO10" s="1" t="s">
        <v>118</v>
      </c>
      <c r="AP10" s="1" t="str">
        <f>"21"</f>
        <v>21</v>
      </c>
      <c r="AQ10" s="1" t="str">
        <f>"27"</f>
        <v>27</v>
      </c>
      <c r="AR10" s="1" t="str">
        <f>"27"</f>
        <v>27</v>
      </c>
      <c r="AS10" s="1" t="str">
        <f>"27"</f>
        <v>27</v>
      </c>
      <c r="AT10" s="1" t="str">
        <f>"6"</f>
        <v>6</v>
      </c>
      <c r="AU10" s="1" t="str">
        <f>"kaidarova.sara@mail.ru"</f>
        <v>kaidarova.sara@mail.ru</v>
      </c>
      <c r="AV10" s="1" t="str">
        <f>"87164536515"</f>
        <v>87164536515</v>
      </c>
      <c r="AW10" s="1" t="s">
        <v>139</v>
      </c>
      <c r="AX10" s="1" t="s">
        <v>221</v>
      </c>
      <c r="AY10" s="1"/>
      <c r="AZ10" s="1" t="s">
        <v>204</v>
      </c>
      <c r="BA10" s="1"/>
      <c r="BB10" s="1"/>
      <c r="BC10" s="1"/>
      <c r="BD10" s="1" t="s">
        <v>141</v>
      </c>
      <c r="BE10" s="1" t="s">
        <v>122</v>
      </c>
      <c r="BF10" s="1">
        <v>1.5</v>
      </c>
      <c r="BG10" s="1" t="str">
        <f>"[24]"</f>
        <v>[24]</v>
      </c>
      <c r="BH10" s="1" t="s">
        <v>118</v>
      </c>
      <c r="BI10" s="1">
        <v>0</v>
      </c>
      <c r="BJ10" s="1"/>
      <c r="BK10" s="1"/>
      <c r="BL10" s="1"/>
      <c r="BM10" s="1"/>
      <c r="BN10" s="1" t="s">
        <v>154</v>
      </c>
      <c r="BO10" s="1"/>
      <c r="BP10" s="1"/>
      <c r="BQ10" s="1"/>
      <c r="BR10" s="1" t="s">
        <v>131</v>
      </c>
      <c r="BS10" s="1"/>
      <c r="BT10" s="1"/>
      <c r="BU10" s="1" t="s">
        <v>241</v>
      </c>
      <c r="BV10" s="1" t="s">
        <v>242</v>
      </c>
      <c r="BW10" s="1" t="s">
        <v>243</v>
      </c>
      <c r="BX10" s="1" t="s">
        <v>244</v>
      </c>
      <c r="BY10" s="1" t="s">
        <v>245</v>
      </c>
      <c r="BZ10" s="1" t="s">
        <v>246</v>
      </c>
      <c r="CA10" s="1" t="s">
        <v>247</v>
      </c>
      <c r="CB10" s="1" t="s">
        <v>248</v>
      </c>
      <c r="CC10" s="1" t="s">
        <v>249</v>
      </c>
      <c r="CD10" s="1" t="s">
        <v>141</v>
      </c>
      <c r="CE10" s="1" t="s">
        <v>250</v>
      </c>
      <c r="CF10" s="1" t="s">
        <v>146</v>
      </c>
      <c r="CG10" s="1"/>
      <c r="CH10" s="1"/>
      <c r="CI10" s="1" t="str">
        <f t="shared" si="0"/>
        <v>0</v>
      </c>
      <c r="CJ10" s="1"/>
      <c r="CK10" s="1"/>
      <c r="CL10" s="1" t="s">
        <v>131</v>
      </c>
      <c r="CM10" s="1"/>
      <c r="CN10" s="1" t="s">
        <v>132</v>
      </c>
      <c r="CO10" s="1" t="s">
        <v>118</v>
      </c>
    </row>
    <row r="11" spans="1:103" hidden="1" x14ac:dyDescent="0.3">
      <c r="A11" s="1">
        <v>180661</v>
      </c>
      <c r="B11" s="1">
        <v>155756</v>
      </c>
      <c r="C11" s="1" t="str">
        <f>"830202450182"</f>
        <v>830202450182</v>
      </c>
      <c r="D11" s="1" t="s">
        <v>251</v>
      </c>
      <c r="E11" s="1" t="s">
        <v>252</v>
      </c>
      <c r="F11" s="1" t="s">
        <v>253</v>
      </c>
      <c r="G11" s="2">
        <v>30349</v>
      </c>
      <c r="H11" s="1"/>
      <c r="I11" s="1" t="s">
        <v>106</v>
      </c>
      <c r="J11" s="1" t="s">
        <v>107</v>
      </c>
      <c r="K11" s="1" t="s">
        <v>254</v>
      </c>
      <c r="L11" s="1"/>
      <c r="M11" s="1"/>
      <c r="N11" s="1"/>
      <c r="O11" s="1"/>
      <c r="P11" s="1" t="s">
        <v>109</v>
      </c>
      <c r="Q11" s="1"/>
      <c r="R11" s="1"/>
      <c r="S11" s="1"/>
      <c r="T11" s="1"/>
      <c r="U11" s="1"/>
      <c r="V11" s="1"/>
      <c r="W11" s="1" t="str">
        <f>"2017-09-02T00:00:00"</f>
        <v>2017-09-02T00:00:00</v>
      </c>
      <c r="X11" s="1" t="str">
        <f>"151"</f>
        <v>151</v>
      </c>
      <c r="Y11" s="1"/>
      <c r="Z11" s="1" t="s">
        <v>110</v>
      </c>
      <c r="AA11" s="1" t="s">
        <v>111</v>
      </c>
      <c r="AB11" s="1"/>
      <c r="AC11" s="1"/>
      <c r="AD11" s="1"/>
      <c r="AE11" s="1" t="s">
        <v>138</v>
      </c>
      <c r="AF11" s="1" t="s">
        <v>169</v>
      </c>
      <c r="AG11" s="1">
        <v>1</v>
      </c>
      <c r="AH11" s="1" t="s">
        <v>114</v>
      </c>
      <c r="AI11" s="1" t="s">
        <v>115</v>
      </c>
      <c r="AJ11" s="1" t="s">
        <v>116</v>
      </c>
      <c r="AK11" s="1"/>
      <c r="AL11" s="1"/>
      <c r="AM11" s="1"/>
      <c r="AN11" s="1" t="s">
        <v>117</v>
      </c>
      <c r="AO11" s="1" t="s">
        <v>118</v>
      </c>
      <c r="AP11" s="1" t="str">
        <f>"9"</f>
        <v>9</v>
      </c>
      <c r="AQ11" s="1" t="str">
        <f>"15"</f>
        <v>15</v>
      </c>
      <c r="AR11" s="1" t="str">
        <f>"12"</f>
        <v>12</v>
      </c>
      <c r="AS11" s="1" t="str">
        <f>"12"</f>
        <v>12</v>
      </c>
      <c r="AT11" s="1" t="str">
        <f>"6"</f>
        <v>6</v>
      </c>
      <c r="AU11" s="1" t="str">
        <f>"tmantaridi@mail.ru"</f>
        <v>tmantaridi@mail.ru</v>
      </c>
      <c r="AV11" s="1" t="str">
        <f>"87754727187"</f>
        <v>87754727187</v>
      </c>
      <c r="AW11" s="1" t="s">
        <v>152</v>
      </c>
      <c r="AX11" s="1" t="s">
        <v>202</v>
      </c>
      <c r="AY11" s="1"/>
      <c r="AZ11" s="1" t="s">
        <v>204</v>
      </c>
      <c r="BA11" s="1"/>
      <c r="BB11" s="1"/>
      <c r="BC11" s="1"/>
      <c r="BD11" s="1"/>
      <c r="BE11" s="1"/>
      <c r="BF11" s="1"/>
      <c r="BG11" s="1"/>
      <c r="BH11" s="1" t="s">
        <v>255</v>
      </c>
      <c r="BI11" s="1">
        <v>0.5</v>
      </c>
      <c r="BJ11" s="1"/>
      <c r="BK11" s="1"/>
      <c r="BL11" s="1"/>
      <c r="BM11" s="1"/>
      <c r="BN11" s="1" t="s">
        <v>256</v>
      </c>
      <c r="BO11" s="1"/>
      <c r="BP11" s="1"/>
      <c r="BQ11" s="1"/>
      <c r="BR11" s="1" t="s">
        <v>131</v>
      </c>
      <c r="BS11" s="1"/>
      <c r="BT11" s="1"/>
      <c r="BU11" s="1" t="s">
        <v>257</v>
      </c>
      <c r="BV11" s="1" t="s">
        <v>258</v>
      </c>
      <c r="BW11" s="1" t="s">
        <v>259</v>
      </c>
      <c r="BX11" s="1" t="s">
        <v>260</v>
      </c>
      <c r="BY11" s="1" t="s">
        <v>261</v>
      </c>
      <c r="BZ11" s="1" t="s">
        <v>262</v>
      </c>
      <c r="CA11" s="1" t="s">
        <v>263</v>
      </c>
      <c r="CB11" s="1" t="s">
        <v>264</v>
      </c>
      <c r="CC11" s="1" t="s">
        <v>265</v>
      </c>
      <c r="CD11" s="1" t="s">
        <v>164</v>
      </c>
      <c r="CE11" s="1" t="s">
        <v>266</v>
      </c>
      <c r="CF11" s="1"/>
      <c r="CG11" s="1"/>
      <c r="CH11" s="1"/>
      <c r="CI11" s="1" t="str">
        <f t="shared" si="0"/>
        <v>0</v>
      </c>
      <c r="CJ11" s="1"/>
      <c r="CK11" s="1"/>
      <c r="CL11" s="1" t="s">
        <v>136</v>
      </c>
      <c r="CM11" s="1"/>
      <c r="CN11" s="1" t="s">
        <v>132</v>
      </c>
      <c r="CO11" s="1" t="s">
        <v>194</v>
      </c>
    </row>
    <row r="12" spans="1:103" hidden="1" x14ac:dyDescent="0.3">
      <c r="A12" s="1">
        <v>180685</v>
      </c>
      <c r="B12" s="1">
        <v>155776</v>
      </c>
      <c r="C12" s="1" t="str">
        <f>"950614450711"</f>
        <v>950614450711</v>
      </c>
      <c r="D12" s="1" t="s">
        <v>267</v>
      </c>
      <c r="E12" s="1" t="s">
        <v>268</v>
      </c>
      <c r="F12" s="1" t="s">
        <v>269</v>
      </c>
      <c r="G12" s="2">
        <v>34864</v>
      </c>
      <c r="H12" s="1"/>
      <c r="I12" s="1" t="s">
        <v>106</v>
      </c>
      <c r="J12" s="1" t="s">
        <v>107</v>
      </c>
      <c r="K12" s="1" t="s">
        <v>108</v>
      </c>
      <c r="L12" s="1"/>
      <c r="M12" s="1"/>
      <c r="N12" s="1"/>
      <c r="O12" s="1"/>
      <c r="P12" s="1" t="s">
        <v>109</v>
      </c>
      <c r="Q12" s="1"/>
      <c r="R12" s="1"/>
      <c r="S12" s="1"/>
      <c r="T12" s="1"/>
      <c r="U12" s="1"/>
      <c r="V12" s="1"/>
      <c r="W12" s="1" t="str">
        <f>"2017-12-14T00:00:00"</f>
        <v>2017-12-14T00:00:00</v>
      </c>
      <c r="X12" s="1" t="str">
        <f>"245"</f>
        <v>245</v>
      </c>
      <c r="Y12" s="1"/>
      <c r="Z12" s="1" t="s">
        <v>168</v>
      </c>
      <c r="AA12" s="1" t="s">
        <v>111</v>
      </c>
      <c r="AB12" s="1"/>
      <c r="AC12" s="1"/>
      <c r="AD12" s="1"/>
      <c r="AE12" s="1" t="s">
        <v>112</v>
      </c>
      <c r="AF12" s="1" t="s">
        <v>113</v>
      </c>
      <c r="AG12" s="1">
        <v>0</v>
      </c>
      <c r="AH12" s="1" t="s">
        <v>114</v>
      </c>
      <c r="AI12" s="1" t="s">
        <v>115</v>
      </c>
      <c r="AJ12" s="1" t="s">
        <v>116</v>
      </c>
      <c r="AK12" s="1"/>
      <c r="AL12" s="1"/>
      <c r="AM12" s="1"/>
      <c r="AN12" s="1" t="s">
        <v>117</v>
      </c>
      <c r="AO12" s="1" t="s">
        <v>118</v>
      </c>
      <c r="AP12" s="1" t="str">
        <f>"0"</f>
        <v>0</v>
      </c>
      <c r="AQ12" s="1" t="str">
        <f>"5"</f>
        <v>5</v>
      </c>
      <c r="AR12" s="1" t="str">
        <f>"3"</f>
        <v>3</v>
      </c>
      <c r="AS12" s="1" t="str">
        <f>"3"</f>
        <v>3</v>
      </c>
      <c r="AT12" s="1" t="str">
        <f>"5"</f>
        <v>5</v>
      </c>
      <c r="AU12" s="1" t="str">
        <f>"Alina.Askarova@mail.ru"</f>
        <v>Alina.Askarova@mail.ru</v>
      </c>
      <c r="AV12" s="1" t="str">
        <f>"87477524387"</f>
        <v>87477524387</v>
      </c>
      <c r="AW12" s="1" t="s">
        <v>152</v>
      </c>
      <c r="AX12" s="1" t="s">
        <v>140</v>
      </c>
      <c r="AY12" s="1"/>
      <c r="AZ12" s="1" t="s">
        <v>204</v>
      </c>
      <c r="BA12" s="1"/>
      <c r="BB12" s="1"/>
      <c r="BC12" s="1"/>
      <c r="BD12" s="1" t="s">
        <v>270</v>
      </c>
      <c r="BE12" s="1" t="s">
        <v>122</v>
      </c>
      <c r="BF12" s="1">
        <v>0</v>
      </c>
      <c r="BG12" s="1" t="str">
        <f>"[0]"</f>
        <v>[0]</v>
      </c>
      <c r="BH12" s="1" t="s">
        <v>118</v>
      </c>
      <c r="BI12" s="1">
        <v>0</v>
      </c>
      <c r="BJ12" s="1"/>
      <c r="BK12" s="1"/>
      <c r="BL12" s="1"/>
      <c r="BM12" s="1"/>
      <c r="BN12" s="1"/>
      <c r="BO12" s="1"/>
      <c r="BP12" s="1"/>
      <c r="BQ12" s="1"/>
      <c r="BR12" s="1"/>
      <c r="BS12" s="1"/>
      <c r="BT12" s="1"/>
      <c r="BU12" s="1" t="s">
        <v>271</v>
      </c>
      <c r="BV12" s="1" t="s">
        <v>272</v>
      </c>
      <c r="BW12" s="1" t="s">
        <v>187</v>
      </c>
      <c r="BX12" s="1" t="s">
        <v>174</v>
      </c>
      <c r="BY12" s="1" t="s">
        <v>209</v>
      </c>
      <c r="BZ12" s="1" t="s">
        <v>273</v>
      </c>
      <c r="CA12" s="1" t="s">
        <v>189</v>
      </c>
      <c r="CB12" s="1" t="s">
        <v>274</v>
      </c>
      <c r="CC12" s="1" t="s">
        <v>275</v>
      </c>
      <c r="CD12" s="1" t="s">
        <v>164</v>
      </c>
      <c r="CE12" s="1" t="s">
        <v>130</v>
      </c>
      <c r="CF12" s="1"/>
      <c r="CG12" s="1"/>
      <c r="CH12" s="1"/>
      <c r="CI12" s="1" t="str">
        <f t="shared" si="0"/>
        <v>0</v>
      </c>
      <c r="CJ12" s="1"/>
      <c r="CK12" s="1"/>
      <c r="CL12" s="1" t="s">
        <v>131</v>
      </c>
      <c r="CM12" s="1"/>
      <c r="CN12" s="1" t="s">
        <v>132</v>
      </c>
      <c r="CO12" s="1" t="s">
        <v>194</v>
      </c>
    </row>
    <row r="13" spans="1:103" hidden="1" x14ac:dyDescent="0.3">
      <c r="A13" s="1">
        <v>180703</v>
      </c>
      <c r="B13" s="1">
        <v>155790</v>
      </c>
      <c r="C13" s="1" t="str">
        <f>"960928451372"</f>
        <v>960928451372</v>
      </c>
      <c r="D13" s="1" t="s">
        <v>276</v>
      </c>
      <c r="E13" s="1" t="s">
        <v>277</v>
      </c>
      <c r="F13" s="1" t="s">
        <v>253</v>
      </c>
      <c r="G13" s="2">
        <v>35336</v>
      </c>
      <c r="H13" s="1"/>
      <c r="I13" s="1" t="s">
        <v>106</v>
      </c>
      <c r="J13" s="1" t="s">
        <v>107</v>
      </c>
      <c r="K13" s="1" t="s">
        <v>198</v>
      </c>
      <c r="L13" s="1"/>
      <c r="M13" s="1"/>
      <c r="N13" s="1"/>
      <c r="O13" s="1"/>
      <c r="P13" s="1" t="s">
        <v>109</v>
      </c>
      <c r="Q13" s="1"/>
      <c r="R13" s="1"/>
      <c r="S13" s="1"/>
      <c r="T13" s="1"/>
      <c r="U13" s="1"/>
      <c r="V13" s="1"/>
      <c r="W13" s="1" t="str">
        <f>"2018-08-16T00:00:00"</f>
        <v>2018-08-16T00:00:00</v>
      </c>
      <c r="X13" s="1" t="str">
        <f>"192"</f>
        <v>192</v>
      </c>
      <c r="Y13" s="1"/>
      <c r="Z13" s="1" t="s">
        <v>168</v>
      </c>
      <c r="AA13" s="1" t="s">
        <v>111</v>
      </c>
      <c r="AB13" s="1"/>
      <c r="AC13" s="1"/>
      <c r="AD13" s="1"/>
      <c r="AE13" s="1" t="s">
        <v>138</v>
      </c>
      <c r="AF13" s="1" t="s">
        <v>200</v>
      </c>
      <c r="AG13" s="1">
        <v>1.1000000000000001</v>
      </c>
      <c r="AH13" s="1" t="s">
        <v>114</v>
      </c>
      <c r="AI13" s="1" t="s">
        <v>115</v>
      </c>
      <c r="AJ13" s="1" t="s">
        <v>116</v>
      </c>
      <c r="AK13" s="1"/>
      <c r="AL13" s="1"/>
      <c r="AM13" s="1"/>
      <c r="AN13" s="1" t="s">
        <v>117</v>
      </c>
      <c r="AO13" s="1" t="s">
        <v>118</v>
      </c>
      <c r="AP13" s="1" t="str">
        <f>"0"</f>
        <v>0</v>
      </c>
      <c r="AQ13" s="1" t="str">
        <f>"5"</f>
        <v>5</v>
      </c>
      <c r="AR13" s="1" t="str">
        <f>"5"</f>
        <v>5</v>
      </c>
      <c r="AS13" s="1" t="str">
        <f>"5"</f>
        <v>5</v>
      </c>
      <c r="AT13" s="1" t="str">
        <f>"5"</f>
        <v>5</v>
      </c>
      <c r="AU13" s="1" t="str">
        <f>"Irina.zeib2@mail.ru"</f>
        <v>Irina.zeib2@mail.ru</v>
      </c>
      <c r="AV13" s="1" t="str">
        <f>"87478094625"</f>
        <v>87478094625</v>
      </c>
      <c r="AW13" s="1" t="s">
        <v>119</v>
      </c>
      <c r="AX13" s="1"/>
      <c r="AY13" s="1"/>
      <c r="AZ13" s="1" t="s">
        <v>204</v>
      </c>
      <c r="BA13" s="1"/>
      <c r="BB13" s="1"/>
      <c r="BC13" s="1"/>
      <c r="BD13" s="1" t="s">
        <v>205</v>
      </c>
      <c r="BE13" s="1" t="s">
        <v>122</v>
      </c>
      <c r="BF13" s="1">
        <v>1.1000000000000001</v>
      </c>
      <c r="BG13" s="1" t="str">
        <f>"[19]"</f>
        <v>[19]</v>
      </c>
      <c r="BH13" s="1" t="s">
        <v>118</v>
      </c>
      <c r="BI13" s="1">
        <v>0</v>
      </c>
      <c r="BJ13" s="1"/>
      <c r="BK13" s="1"/>
      <c r="BL13" s="1"/>
      <c r="BM13" s="1"/>
      <c r="BN13" s="1" t="s">
        <v>154</v>
      </c>
      <c r="BO13" s="1"/>
      <c r="BP13" s="1"/>
      <c r="BQ13" s="1"/>
      <c r="BR13" s="1" t="s">
        <v>131</v>
      </c>
      <c r="BS13" s="1"/>
      <c r="BT13" s="1"/>
      <c r="BU13" s="1" t="s">
        <v>185</v>
      </c>
      <c r="BV13" s="1" t="s">
        <v>278</v>
      </c>
      <c r="BW13" s="1" t="s">
        <v>279</v>
      </c>
      <c r="BX13" s="1" t="s">
        <v>174</v>
      </c>
      <c r="BY13" s="1" t="s">
        <v>209</v>
      </c>
      <c r="BZ13" s="1" t="s">
        <v>280</v>
      </c>
      <c r="CA13" s="1" t="s">
        <v>281</v>
      </c>
      <c r="CB13" s="1" t="s">
        <v>282</v>
      </c>
      <c r="CC13" s="1" t="s">
        <v>283</v>
      </c>
      <c r="CD13" s="1" t="s">
        <v>164</v>
      </c>
      <c r="CE13" s="1" t="s">
        <v>229</v>
      </c>
      <c r="CF13" s="3">
        <v>45383</v>
      </c>
      <c r="CG13" s="1"/>
      <c r="CH13" s="1"/>
      <c r="CI13" s="1" t="str">
        <f t="shared" si="0"/>
        <v>0</v>
      </c>
      <c r="CJ13" s="1"/>
      <c r="CK13" s="1"/>
      <c r="CL13" s="1" t="s">
        <v>131</v>
      </c>
      <c r="CM13" s="1"/>
      <c r="CN13" s="1" t="s">
        <v>132</v>
      </c>
      <c r="CO13" s="1" t="s">
        <v>118</v>
      </c>
    </row>
    <row r="14" spans="1:103" hidden="1" x14ac:dyDescent="0.3">
      <c r="A14" s="1">
        <v>180710</v>
      </c>
      <c r="B14" s="1">
        <v>155797</v>
      </c>
      <c r="C14" s="1" t="str">
        <f>"941204451266"</f>
        <v>941204451266</v>
      </c>
      <c r="D14" s="1" t="s">
        <v>284</v>
      </c>
      <c r="E14" s="1" t="s">
        <v>232</v>
      </c>
      <c r="F14" s="1" t="s">
        <v>285</v>
      </c>
      <c r="G14" s="2">
        <v>34672</v>
      </c>
      <c r="H14" s="1"/>
      <c r="I14" s="1" t="s">
        <v>106</v>
      </c>
      <c r="J14" s="1" t="s">
        <v>107</v>
      </c>
      <c r="K14" s="1" t="s">
        <v>108</v>
      </c>
      <c r="L14" s="1"/>
      <c r="M14" s="1"/>
      <c r="N14" s="1"/>
      <c r="O14" s="1"/>
      <c r="P14" s="1" t="s">
        <v>109</v>
      </c>
      <c r="Q14" s="1"/>
      <c r="R14" s="1"/>
      <c r="S14" s="1"/>
      <c r="T14" s="1"/>
      <c r="U14" s="1"/>
      <c r="V14" s="1"/>
      <c r="W14" s="1" t="str">
        <f>"2017-09-18T00:00:00"</f>
        <v>2017-09-18T00:00:00</v>
      </c>
      <c r="X14" s="1" t="str">
        <f>"180"</f>
        <v>180</v>
      </c>
      <c r="Y14" s="1"/>
      <c r="Z14" s="1" t="s">
        <v>199</v>
      </c>
      <c r="AA14" s="1" t="s">
        <v>111</v>
      </c>
      <c r="AB14" s="1"/>
      <c r="AC14" s="1"/>
      <c r="AD14" s="1"/>
      <c r="AE14" s="1" t="s">
        <v>138</v>
      </c>
      <c r="AF14" s="1" t="s">
        <v>113</v>
      </c>
      <c r="AG14" s="1">
        <v>1.5</v>
      </c>
      <c r="AH14" s="1" t="s">
        <v>114</v>
      </c>
      <c r="AI14" s="1" t="s">
        <v>115</v>
      </c>
      <c r="AJ14" s="1" t="s">
        <v>116</v>
      </c>
      <c r="AK14" s="1"/>
      <c r="AL14" s="1"/>
      <c r="AM14" s="1"/>
      <c r="AN14" s="1" t="s">
        <v>117</v>
      </c>
      <c r="AO14" s="1" t="s">
        <v>118</v>
      </c>
      <c r="AP14" s="1" t="str">
        <f>"1"</f>
        <v>1</v>
      </c>
      <c r="AQ14" s="1" t="str">
        <f>"7"</f>
        <v>7</v>
      </c>
      <c r="AR14" s="1" t="str">
        <f>"6"</f>
        <v>6</v>
      </c>
      <c r="AS14" s="1" t="str">
        <f>"6"</f>
        <v>6</v>
      </c>
      <c r="AT14" s="1" t="str">
        <f>"6"</f>
        <v>6</v>
      </c>
      <c r="AU14" s="1" t="str">
        <f>"Shomatovaaltyn@mail.ru"</f>
        <v>Shomatovaaltyn@mail.ru</v>
      </c>
      <c r="AV14" s="1" t="str">
        <f>"87474535772"</f>
        <v>87474535772</v>
      </c>
      <c r="AW14" s="1" t="s">
        <v>152</v>
      </c>
      <c r="AX14" s="1" t="s">
        <v>221</v>
      </c>
      <c r="AY14" s="1"/>
      <c r="AZ14" s="1" t="s">
        <v>120</v>
      </c>
      <c r="BA14" s="1"/>
      <c r="BB14" s="1"/>
      <c r="BC14" s="1"/>
      <c r="BD14" s="1" t="s">
        <v>141</v>
      </c>
      <c r="BE14" s="1" t="s">
        <v>122</v>
      </c>
      <c r="BF14" s="1">
        <v>1.5</v>
      </c>
      <c r="BG14" s="1" t="str">
        <f>"[24]"</f>
        <v>[24]</v>
      </c>
      <c r="BH14" s="1" t="s">
        <v>118</v>
      </c>
      <c r="BI14" s="1">
        <v>0</v>
      </c>
      <c r="BJ14" s="1"/>
      <c r="BK14" s="1"/>
      <c r="BL14" s="1"/>
      <c r="BM14" s="1"/>
      <c r="BN14" s="1" t="s">
        <v>154</v>
      </c>
      <c r="BO14" s="1"/>
      <c r="BP14" s="1"/>
      <c r="BQ14" s="1"/>
      <c r="BR14" s="1" t="s">
        <v>131</v>
      </c>
      <c r="BS14" s="1"/>
      <c r="BT14" s="1"/>
      <c r="BU14" s="1" t="s">
        <v>185</v>
      </c>
      <c r="BV14" s="1" t="s">
        <v>286</v>
      </c>
      <c r="BW14" s="1" t="s">
        <v>187</v>
      </c>
      <c r="BX14" s="1" t="s">
        <v>174</v>
      </c>
      <c r="BY14" s="1" t="s">
        <v>175</v>
      </c>
      <c r="BZ14" s="1" t="s">
        <v>188</v>
      </c>
      <c r="CA14" s="1" t="s">
        <v>287</v>
      </c>
      <c r="CB14" s="1" t="s">
        <v>288</v>
      </c>
      <c r="CC14" s="1" t="s">
        <v>289</v>
      </c>
      <c r="CD14" s="1" t="s">
        <v>164</v>
      </c>
      <c r="CE14" s="1" t="s">
        <v>290</v>
      </c>
      <c r="CF14" s="3">
        <v>45383</v>
      </c>
      <c r="CG14" s="1"/>
      <c r="CH14" s="1"/>
      <c r="CI14" s="1" t="str">
        <f t="shared" si="0"/>
        <v>0</v>
      </c>
      <c r="CJ14" s="1"/>
      <c r="CK14" s="1"/>
      <c r="CL14" s="1" t="s">
        <v>131</v>
      </c>
      <c r="CM14" s="1"/>
      <c r="CN14" s="1" t="s">
        <v>132</v>
      </c>
      <c r="CO14" s="1" t="s">
        <v>194</v>
      </c>
    </row>
    <row r="15" spans="1:103" hidden="1" x14ac:dyDescent="0.3">
      <c r="A15" s="1">
        <v>180730</v>
      </c>
      <c r="B15" s="1">
        <v>155812</v>
      </c>
      <c r="C15" s="1" t="str">
        <f>"470702450302"</f>
        <v>470702450302</v>
      </c>
      <c r="D15" s="1" t="s">
        <v>291</v>
      </c>
      <c r="E15" s="1" t="s">
        <v>292</v>
      </c>
      <c r="F15" s="1" t="s">
        <v>293</v>
      </c>
      <c r="G15" s="2">
        <v>17350</v>
      </c>
      <c r="H15" s="1"/>
      <c r="I15" s="1" t="s">
        <v>106</v>
      </c>
      <c r="J15" s="1" t="s">
        <v>107</v>
      </c>
      <c r="K15" s="1" t="s">
        <v>198</v>
      </c>
      <c r="L15" s="1"/>
      <c r="M15" s="1"/>
      <c r="N15" s="1"/>
      <c r="O15" s="1"/>
      <c r="P15" s="1" t="s">
        <v>109</v>
      </c>
      <c r="Q15" s="1"/>
      <c r="R15" s="1"/>
      <c r="S15" s="1"/>
      <c r="T15" s="1"/>
      <c r="U15" s="1"/>
      <c r="V15" s="1"/>
      <c r="W15" s="1" t="str">
        <f>"1985-10-14T00:00:00"</f>
        <v>1985-10-14T00:00:00</v>
      </c>
      <c r="X15" s="1" t="str">
        <f>"81"</f>
        <v>81</v>
      </c>
      <c r="Y15" s="1"/>
      <c r="Z15" s="1" t="s">
        <v>137</v>
      </c>
      <c r="AA15" s="1" t="s">
        <v>111</v>
      </c>
      <c r="AB15" s="1"/>
      <c r="AC15" s="1"/>
      <c r="AD15" s="1"/>
      <c r="AE15" s="1" t="s">
        <v>138</v>
      </c>
      <c r="AF15" s="1" t="s">
        <v>113</v>
      </c>
      <c r="AG15" s="1">
        <v>0.6</v>
      </c>
      <c r="AH15" s="1" t="s">
        <v>114</v>
      </c>
      <c r="AI15" s="1" t="s">
        <v>115</v>
      </c>
      <c r="AJ15" s="1" t="s">
        <v>116</v>
      </c>
      <c r="AK15" s="1"/>
      <c r="AL15" s="1"/>
      <c r="AM15" s="1"/>
      <c r="AN15" s="1" t="s">
        <v>117</v>
      </c>
      <c r="AO15" s="1" t="s">
        <v>118</v>
      </c>
      <c r="AP15" s="1" t="str">
        <f>"16"</f>
        <v>16</v>
      </c>
      <c r="AQ15" s="1" t="str">
        <f>"54"</f>
        <v>54</v>
      </c>
      <c r="AR15" s="1" t="str">
        <f>"53"</f>
        <v>53</v>
      </c>
      <c r="AS15" s="1" t="str">
        <f>"53"</f>
        <v>53</v>
      </c>
      <c r="AT15" s="1" t="str">
        <f>"38"</f>
        <v>38</v>
      </c>
      <c r="AU15" s="1" t="str">
        <f>"borisova.valentina3@mail.ru"</f>
        <v>borisova.valentina3@mail.ru</v>
      </c>
      <c r="AV15" s="1" t="str">
        <f>"87753345904"</f>
        <v>87753345904</v>
      </c>
      <c r="AW15" s="1" t="s">
        <v>119</v>
      </c>
      <c r="AX15" s="1"/>
      <c r="AY15" s="1"/>
      <c r="AZ15" s="1" t="s">
        <v>204</v>
      </c>
      <c r="BA15" s="1"/>
      <c r="BB15" s="1"/>
      <c r="BC15" s="1"/>
      <c r="BD15" s="1" t="s">
        <v>294</v>
      </c>
      <c r="BE15" s="1" t="s">
        <v>122</v>
      </c>
      <c r="BF15" s="1">
        <v>0.6</v>
      </c>
      <c r="BG15" s="1" t="str">
        <f>"[10]"</f>
        <v>[10]</v>
      </c>
      <c r="BH15" s="1" t="s">
        <v>118</v>
      </c>
      <c r="BI15" s="1">
        <v>0</v>
      </c>
      <c r="BJ15" s="1"/>
      <c r="BK15" s="1"/>
      <c r="BL15" s="1"/>
      <c r="BM15" s="1"/>
      <c r="BN15" s="1" t="s">
        <v>142</v>
      </c>
      <c r="BO15" s="1"/>
      <c r="BP15" s="1"/>
      <c r="BQ15" s="1"/>
      <c r="BR15" s="1" t="s">
        <v>131</v>
      </c>
      <c r="BS15" s="1"/>
      <c r="BT15" s="1"/>
      <c r="BU15" s="1" t="s">
        <v>185</v>
      </c>
      <c r="BV15" s="1" t="s">
        <v>295</v>
      </c>
      <c r="BW15" s="1" t="s">
        <v>187</v>
      </c>
      <c r="BX15" s="1" t="s">
        <v>296</v>
      </c>
      <c r="BY15" s="1" t="s">
        <v>209</v>
      </c>
      <c r="BZ15" s="1" t="s">
        <v>273</v>
      </c>
      <c r="CA15" s="1" t="s">
        <v>297</v>
      </c>
      <c r="CB15" s="1" t="s">
        <v>298</v>
      </c>
      <c r="CC15" s="1" t="s">
        <v>299</v>
      </c>
      <c r="CD15" s="1" t="s">
        <v>164</v>
      </c>
      <c r="CE15" s="1" t="s">
        <v>300</v>
      </c>
      <c r="CF15" s="1" t="s">
        <v>146</v>
      </c>
      <c r="CG15" s="1"/>
      <c r="CH15" s="1"/>
      <c r="CI15" s="1" t="str">
        <f t="shared" si="0"/>
        <v>0</v>
      </c>
      <c r="CJ15" s="1"/>
      <c r="CK15" s="1"/>
      <c r="CL15" s="1" t="s">
        <v>136</v>
      </c>
      <c r="CM15" s="1"/>
      <c r="CN15" s="1" t="s">
        <v>132</v>
      </c>
      <c r="CO15" s="1" t="s">
        <v>118</v>
      </c>
    </row>
    <row r="16" spans="1:103" hidden="1" x14ac:dyDescent="0.3">
      <c r="A16" s="1">
        <v>180763</v>
      </c>
      <c r="B16" s="1">
        <v>155834</v>
      </c>
      <c r="C16" s="1" t="str">
        <f>"620825401910"</f>
        <v>620825401910</v>
      </c>
      <c r="D16" s="1" t="s">
        <v>301</v>
      </c>
      <c r="E16" s="1" t="s">
        <v>302</v>
      </c>
      <c r="F16" s="1" t="s">
        <v>303</v>
      </c>
      <c r="G16" s="2">
        <v>22883</v>
      </c>
      <c r="H16" s="1"/>
      <c r="I16" s="1" t="s">
        <v>106</v>
      </c>
      <c r="J16" s="1" t="s">
        <v>107</v>
      </c>
      <c r="K16" s="1" t="s">
        <v>254</v>
      </c>
      <c r="L16" s="1"/>
      <c r="M16" s="1"/>
      <c r="N16" s="1"/>
      <c r="O16" s="1"/>
      <c r="P16" s="1" t="s">
        <v>109</v>
      </c>
      <c r="Q16" s="1" t="s">
        <v>136</v>
      </c>
      <c r="R16" s="1"/>
      <c r="S16" s="1"/>
      <c r="T16" s="1"/>
      <c r="U16" s="1"/>
      <c r="V16" s="1"/>
      <c r="W16" s="1" t="str">
        <f>"1993-09-01T00:00:00"</f>
        <v>1993-09-01T00:00:00</v>
      </c>
      <c r="X16" s="1" t="str">
        <f>"174"</f>
        <v>174</v>
      </c>
      <c r="Y16" s="1"/>
      <c r="Z16" s="1" t="s">
        <v>110</v>
      </c>
      <c r="AA16" s="1" t="s">
        <v>111</v>
      </c>
      <c r="AB16" s="1"/>
      <c r="AC16" s="1"/>
      <c r="AD16" s="1"/>
      <c r="AE16" s="1" t="s">
        <v>138</v>
      </c>
      <c r="AF16" s="1" t="s">
        <v>200</v>
      </c>
      <c r="AG16" s="1">
        <v>1.1000000000000001</v>
      </c>
      <c r="AH16" s="1" t="s">
        <v>114</v>
      </c>
      <c r="AI16" s="1" t="s">
        <v>115</v>
      </c>
      <c r="AJ16" s="1" t="s">
        <v>116</v>
      </c>
      <c r="AK16" s="1"/>
      <c r="AL16" s="1"/>
      <c r="AM16" s="1"/>
      <c r="AN16" s="1" t="s">
        <v>117</v>
      </c>
      <c r="AO16" s="1" t="s">
        <v>118</v>
      </c>
      <c r="AP16" s="1" t="str">
        <f>"10"</f>
        <v>10</v>
      </c>
      <c r="AQ16" s="1" t="str">
        <f>"40"</f>
        <v>40</v>
      </c>
      <c r="AR16" s="1" t="str">
        <f>"40"</f>
        <v>40</v>
      </c>
      <c r="AS16" s="1" t="str">
        <f>"40"</f>
        <v>40</v>
      </c>
      <c r="AT16" s="1" t="str">
        <f>"30"</f>
        <v>30</v>
      </c>
      <c r="AU16" s="1" t="str">
        <f>"nina.goncharova.2012@mail.ru"</f>
        <v>nina.goncharova.2012@mail.ru</v>
      </c>
      <c r="AV16" s="1" t="str">
        <f>"87012982150"</f>
        <v>87012982150</v>
      </c>
      <c r="AW16" s="1" t="s">
        <v>119</v>
      </c>
      <c r="AX16" s="1" t="s">
        <v>304</v>
      </c>
      <c r="AY16" s="1"/>
      <c r="AZ16" s="1" t="s">
        <v>204</v>
      </c>
      <c r="BA16" s="1"/>
      <c r="BB16" s="1"/>
      <c r="BC16" s="1"/>
      <c r="BD16" s="1" t="s">
        <v>205</v>
      </c>
      <c r="BE16" s="1" t="s">
        <v>122</v>
      </c>
      <c r="BF16" s="1">
        <v>1.1000000000000001</v>
      </c>
      <c r="BG16" s="1" t="str">
        <f>"[18]"</f>
        <v>[18]</v>
      </c>
      <c r="BH16" s="1" t="s">
        <v>118</v>
      </c>
      <c r="BI16" s="1">
        <v>0</v>
      </c>
      <c r="BJ16" s="1"/>
      <c r="BK16" s="1"/>
      <c r="BL16" s="1"/>
      <c r="BM16" s="1"/>
      <c r="BN16" s="1" t="s">
        <v>142</v>
      </c>
      <c r="BO16" s="1"/>
      <c r="BP16" s="1"/>
      <c r="BQ16" s="1"/>
      <c r="BR16" s="1" t="s">
        <v>131</v>
      </c>
      <c r="BS16" s="1"/>
      <c r="BT16" s="1"/>
      <c r="BU16" s="1" t="s">
        <v>171</v>
      </c>
      <c r="BV16" s="1" t="s">
        <v>208</v>
      </c>
      <c r="BW16" s="1" t="s">
        <v>224</v>
      </c>
      <c r="BX16" s="1" t="s">
        <v>174</v>
      </c>
      <c r="BY16" s="1" t="s">
        <v>209</v>
      </c>
      <c r="BZ16" s="1" t="s">
        <v>225</v>
      </c>
      <c r="CA16" s="1" t="s">
        <v>305</v>
      </c>
      <c r="CB16" s="1" t="s">
        <v>306</v>
      </c>
      <c r="CC16" s="1" t="s">
        <v>307</v>
      </c>
      <c r="CD16" s="1" t="s">
        <v>205</v>
      </c>
      <c r="CE16" s="1" t="s">
        <v>308</v>
      </c>
      <c r="CF16" s="3">
        <v>45383</v>
      </c>
      <c r="CG16" s="1"/>
      <c r="CH16" s="1"/>
      <c r="CI16" s="1" t="str">
        <f t="shared" si="0"/>
        <v>0</v>
      </c>
      <c r="CJ16" s="1"/>
      <c r="CK16" s="1"/>
      <c r="CL16" s="1" t="s">
        <v>131</v>
      </c>
      <c r="CM16" s="1"/>
      <c r="CN16" s="1" t="s">
        <v>132</v>
      </c>
      <c r="CO16" s="1" t="s">
        <v>118</v>
      </c>
    </row>
    <row r="17" spans="1:93" hidden="1" x14ac:dyDescent="0.3">
      <c r="A17" s="1">
        <v>180770</v>
      </c>
      <c r="B17" s="1">
        <v>155837</v>
      </c>
      <c r="C17" s="1" t="str">
        <f>"670308401245"</f>
        <v>670308401245</v>
      </c>
      <c r="D17" s="1" t="s">
        <v>309</v>
      </c>
      <c r="E17" s="1" t="s">
        <v>310</v>
      </c>
      <c r="F17" s="1" t="s">
        <v>311</v>
      </c>
      <c r="G17" s="2">
        <v>24539</v>
      </c>
      <c r="H17" s="1"/>
      <c r="I17" s="1" t="s">
        <v>106</v>
      </c>
      <c r="J17" s="1" t="s">
        <v>107</v>
      </c>
      <c r="K17" s="1" t="s">
        <v>254</v>
      </c>
      <c r="L17" s="1"/>
      <c r="M17" s="1"/>
      <c r="N17" s="1"/>
      <c r="O17" s="1"/>
      <c r="P17" s="1" t="s">
        <v>109</v>
      </c>
      <c r="Q17" s="1" t="s">
        <v>136</v>
      </c>
      <c r="R17" s="1"/>
      <c r="S17" s="1"/>
      <c r="T17" s="1"/>
      <c r="U17" s="1"/>
      <c r="V17" s="1"/>
      <c r="W17" s="1" t="str">
        <f>"1992-03-20T00:00:00"</f>
        <v>1992-03-20T00:00:00</v>
      </c>
      <c r="X17" s="1" t="str">
        <f>"69"</f>
        <v>69</v>
      </c>
      <c r="Y17" s="1"/>
      <c r="Z17" s="1" t="s">
        <v>312</v>
      </c>
      <c r="AA17" s="1" t="s">
        <v>111</v>
      </c>
      <c r="AB17" s="1"/>
      <c r="AC17" s="1"/>
      <c r="AD17" s="1"/>
      <c r="AE17" s="1" t="s">
        <v>138</v>
      </c>
      <c r="AF17" s="1" t="s">
        <v>113</v>
      </c>
      <c r="AG17" s="1">
        <v>1.5</v>
      </c>
      <c r="AH17" s="1" t="s">
        <v>114</v>
      </c>
      <c r="AI17" s="1" t="s">
        <v>115</v>
      </c>
      <c r="AJ17" s="1" t="s">
        <v>116</v>
      </c>
      <c r="AK17" s="1"/>
      <c r="AL17" s="1"/>
      <c r="AM17" s="1"/>
      <c r="AN17" s="1" t="s">
        <v>117</v>
      </c>
      <c r="AO17" s="1" t="s">
        <v>118</v>
      </c>
      <c r="AP17" s="1" t="str">
        <f>"3"</f>
        <v>3</v>
      </c>
      <c r="AQ17" s="1" t="str">
        <f>"34"</f>
        <v>34</v>
      </c>
      <c r="AR17" s="1" t="str">
        <f>"33"</f>
        <v>33</v>
      </c>
      <c r="AS17" s="1" t="str">
        <f>"33"</f>
        <v>33</v>
      </c>
      <c r="AT17" s="1" t="str">
        <f>"31"</f>
        <v>31</v>
      </c>
      <c r="AU17" s="1" t="str">
        <f>"lusi.08@mail.ru"</f>
        <v>lusi.08@mail.ru</v>
      </c>
      <c r="AV17" s="1" t="str">
        <f>"87083276204"</f>
        <v>87083276204</v>
      </c>
      <c r="AW17" s="1" t="s">
        <v>139</v>
      </c>
      <c r="AX17" s="1" t="s">
        <v>221</v>
      </c>
      <c r="AY17" s="1"/>
      <c r="AZ17" s="1" t="s">
        <v>204</v>
      </c>
      <c r="BA17" s="1"/>
      <c r="BB17" s="1"/>
      <c r="BC17" s="1"/>
      <c r="BD17" s="1" t="s">
        <v>313</v>
      </c>
      <c r="BE17" s="1" t="s">
        <v>122</v>
      </c>
      <c r="BF17" s="1">
        <v>1.5</v>
      </c>
      <c r="BG17" s="1" t="str">
        <f>"[24]"</f>
        <v>[24]</v>
      </c>
      <c r="BH17" s="1" t="s">
        <v>118</v>
      </c>
      <c r="BI17" s="1">
        <v>0</v>
      </c>
      <c r="BJ17" s="1"/>
      <c r="BK17" s="1"/>
      <c r="BL17" s="1"/>
      <c r="BM17" s="1"/>
      <c r="BN17" s="1" t="s">
        <v>154</v>
      </c>
      <c r="BO17" s="1"/>
      <c r="BP17" s="1"/>
      <c r="BQ17" s="1"/>
      <c r="BR17" s="1" t="s">
        <v>131</v>
      </c>
      <c r="BS17" s="1"/>
      <c r="BT17" s="1"/>
      <c r="BU17" s="1" t="s">
        <v>314</v>
      </c>
      <c r="BV17" s="1" t="s">
        <v>315</v>
      </c>
      <c r="BW17" s="1" t="s">
        <v>316</v>
      </c>
      <c r="BX17" s="1" t="s">
        <v>317</v>
      </c>
      <c r="BY17" s="1" t="s">
        <v>318</v>
      </c>
      <c r="BZ17" s="1" t="s">
        <v>319</v>
      </c>
      <c r="CA17" s="1" t="s">
        <v>320</v>
      </c>
      <c r="CB17" s="1" t="s">
        <v>321</v>
      </c>
      <c r="CC17" s="1" t="s">
        <v>322</v>
      </c>
      <c r="CD17" s="1" t="s">
        <v>313</v>
      </c>
      <c r="CE17" s="1" t="s">
        <v>323</v>
      </c>
      <c r="CF17" s="1" t="s">
        <v>146</v>
      </c>
      <c r="CG17" s="1"/>
      <c r="CH17" s="1"/>
      <c r="CI17" s="1" t="str">
        <f t="shared" si="0"/>
        <v>0</v>
      </c>
      <c r="CJ17" s="1"/>
      <c r="CK17" s="1"/>
      <c r="CL17" s="1" t="s">
        <v>131</v>
      </c>
      <c r="CM17" s="1"/>
      <c r="CN17" s="1" t="s">
        <v>132</v>
      </c>
      <c r="CO17" s="1" t="s">
        <v>118</v>
      </c>
    </row>
    <row r="18" spans="1:93" hidden="1" x14ac:dyDescent="0.3">
      <c r="A18" s="1">
        <v>180791</v>
      </c>
      <c r="B18" s="1">
        <v>155856</v>
      </c>
      <c r="C18" s="1" t="str">
        <f>"630215450032"</f>
        <v>630215450032</v>
      </c>
      <c r="D18" s="1" t="s">
        <v>324</v>
      </c>
      <c r="E18" s="1" t="s">
        <v>325</v>
      </c>
      <c r="F18" s="1" t="s">
        <v>326</v>
      </c>
      <c r="G18" s="2">
        <v>23057</v>
      </c>
      <c r="H18" s="1"/>
      <c r="I18" s="1" t="s">
        <v>106</v>
      </c>
      <c r="J18" s="1" t="s">
        <v>107</v>
      </c>
      <c r="K18" s="1" t="s">
        <v>108</v>
      </c>
      <c r="L18" s="1"/>
      <c r="M18" s="1"/>
      <c r="N18" s="1"/>
      <c r="O18" s="1"/>
      <c r="P18" s="1" t="s">
        <v>109</v>
      </c>
      <c r="Q18" s="1"/>
      <c r="R18" s="1"/>
      <c r="S18" s="1"/>
      <c r="T18" s="1"/>
      <c r="U18" s="1"/>
      <c r="V18" s="1"/>
      <c r="W18" s="1" t="str">
        <f>"1987-08-25T00:00:00"</f>
        <v>1987-08-25T00:00:00</v>
      </c>
      <c r="X18" s="1" t="str">
        <f>"143/8"</f>
        <v>143/8</v>
      </c>
      <c r="Y18" s="1"/>
      <c r="Z18" s="1" t="s">
        <v>168</v>
      </c>
      <c r="AA18" s="1" t="s">
        <v>111</v>
      </c>
      <c r="AB18" s="1"/>
      <c r="AC18" s="1"/>
      <c r="AD18" s="1"/>
      <c r="AE18" s="1" t="s">
        <v>138</v>
      </c>
      <c r="AF18" s="1" t="s">
        <v>113</v>
      </c>
      <c r="AG18" s="1">
        <v>1.5</v>
      </c>
      <c r="AH18" s="1" t="s">
        <v>114</v>
      </c>
      <c r="AI18" s="1" t="s">
        <v>115</v>
      </c>
      <c r="AJ18" s="1" t="s">
        <v>116</v>
      </c>
      <c r="AK18" s="1"/>
      <c r="AL18" s="1"/>
      <c r="AM18" s="1"/>
      <c r="AN18" s="1" t="s">
        <v>117</v>
      </c>
      <c r="AO18" s="1" t="s">
        <v>118</v>
      </c>
      <c r="AP18" s="1" t="str">
        <f>"0"</f>
        <v>0</v>
      </c>
      <c r="AQ18" s="1" t="str">
        <f>"36"</f>
        <v>36</v>
      </c>
      <c r="AR18" s="1" t="str">
        <f>"36"</f>
        <v>36</v>
      </c>
      <c r="AS18" s="1" t="str">
        <f>"36"</f>
        <v>36</v>
      </c>
      <c r="AT18" s="1" t="str">
        <f>"36"</f>
        <v>36</v>
      </c>
      <c r="AU18" s="1" t="str">
        <f>"kakimovant@mail.ru"</f>
        <v>kakimovant@mail.ru</v>
      </c>
      <c r="AV18" s="1" t="str">
        <f>"87472258992"</f>
        <v>87472258992</v>
      </c>
      <c r="AW18" s="1" t="s">
        <v>220</v>
      </c>
      <c r="AX18" s="1" t="s">
        <v>221</v>
      </c>
      <c r="AY18" s="1"/>
      <c r="AZ18" s="1" t="s">
        <v>204</v>
      </c>
      <c r="BA18" s="1"/>
      <c r="BB18" s="1"/>
      <c r="BC18" s="1"/>
      <c r="BD18" s="1" t="s">
        <v>327</v>
      </c>
      <c r="BE18" s="1" t="s">
        <v>122</v>
      </c>
      <c r="BF18" s="1">
        <v>1.5</v>
      </c>
      <c r="BG18" s="1" t="str">
        <f>"[24]"</f>
        <v>[24]</v>
      </c>
      <c r="BH18" s="1" t="s">
        <v>118</v>
      </c>
      <c r="BI18" s="1">
        <v>0</v>
      </c>
      <c r="BJ18" s="1"/>
      <c r="BK18" s="1"/>
      <c r="BL18" s="1"/>
      <c r="BM18" s="1"/>
      <c r="BN18" s="1" t="s">
        <v>154</v>
      </c>
      <c r="BO18" s="1"/>
      <c r="BP18" s="1"/>
      <c r="BQ18" s="1"/>
      <c r="BR18" s="1" t="s">
        <v>131</v>
      </c>
      <c r="BS18" s="1"/>
      <c r="BT18" s="1"/>
      <c r="BU18" s="1" t="s">
        <v>328</v>
      </c>
      <c r="BV18" s="1" t="s">
        <v>329</v>
      </c>
      <c r="BW18" s="1" t="s">
        <v>330</v>
      </c>
      <c r="BX18" s="1" t="s">
        <v>331</v>
      </c>
      <c r="BY18" s="1" t="s">
        <v>332</v>
      </c>
      <c r="BZ18" s="1" t="s">
        <v>333</v>
      </c>
      <c r="CA18" s="1" t="s">
        <v>334</v>
      </c>
      <c r="CB18" s="1" t="s">
        <v>335</v>
      </c>
      <c r="CC18" s="1" t="s">
        <v>336</v>
      </c>
      <c r="CD18" s="1" t="s">
        <v>327</v>
      </c>
      <c r="CE18" s="1" t="s">
        <v>337</v>
      </c>
      <c r="CF18" s="1" t="s">
        <v>146</v>
      </c>
      <c r="CG18" s="1"/>
      <c r="CH18" s="1"/>
      <c r="CI18" s="1" t="str">
        <f t="shared" si="0"/>
        <v>0</v>
      </c>
      <c r="CJ18" s="1"/>
      <c r="CK18" s="1"/>
      <c r="CL18" s="1" t="s">
        <v>131</v>
      </c>
      <c r="CM18" s="1"/>
      <c r="CN18" s="1" t="s">
        <v>132</v>
      </c>
      <c r="CO18" s="1" t="s">
        <v>118</v>
      </c>
    </row>
    <row r="19" spans="1:93" hidden="1" x14ac:dyDescent="0.3">
      <c r="A19" s="1">
        <v>180818</v>
      </c>
      <c r="B19" s="1">
        <v>155880</v>
      </c>
      <c r="C19" s="1" t="str">
        <f>"620817450132"</f>
        <v>620817450132</v>
      </c>
      <c r="D19" s="1" t="s">
        <v>338</v>
      </c>
      <c r="E19" s="1" t="s">
        <v>339</v>
      </c>
      <c r="F19" s="1" t="s">
        <v>340</v>
      </c>
      <c r="G19" s="2">
        <v>22875</v>
      </c>
      <c r="H19" s="1"/>
      <c r="I19" s="1" t="s">
        <v>106</v>
      </c>
      <c r="J19" s="1" t="s">
        <v>107</v>
      </c>
      <c r="K19" s="1" t="s">
        <v>198</v>
      </c>
      <c r="L19" s="1"/>
      <c r="M19" s="1"/>
      <c r="N19" s="1"/>
      <c r="O19" s="1"/>
      <c r="P19" s="1" t="s">
        <v>109</v>
      </c>
      <c r="Q19" s="1"/>
      <c r="R19" s="1"/>
      <c r="S19" s="1"/>
      <c r="T19" s="1"/>
      <c r="U19" s="1"/>
      <c r="V19" s="1"/>
      <c r="W19" s="1" t="str">
        <f>"1987-08-24T00:00:00"</f>
        <v>1987-08-24T00:00:00</v>
      </c>
      <c r="X19" s="1" t="str">
        <f>"150/4"</f>
        <v>150/4</v>
      </c>
      <c r="Y19" s="1"/>
      <c r="Z19" s="1" t="s">
        <v>110</v>
      </c>
      <c r="AA19" s="1" t="s">
        <v>111</v>
      </c>
      <c r="AB19" s="1"/>
      <c r="AC19" s="1"/>
      <c r="AD19" s="1"/>
      <c r="AE19" s="1" t="s">
        <v>138</v>
      </c>
      <c r="AF19" s="1" t="s">
        <v>113</v>
      </c>
      <c r="AG19" s="1">
        <v>1.5</v>
      </c>
      <c r="AH19" s="1" t="s">
        <v>114</v>
      </c>
      <c r="AI19" s="1" t="s">
        <v>115</v>
      </c>
      <c r="AJ19" s="1" t="s">
        <v>116</v>
      </c>
      <c r="AK19" s="1"/>
      <c r="AL19" s="1"/>
      <c r="AM19" s="1"/>
      <c r="AN19" s="1" t="s">
        <v>117</v>
      </c>
      <c r="AO19" s="1" t="s">
        <v>118</v>
      </c>
      <c r="AP19" s="1" t="str">
        <f>"3"</f>
        <v>3</v>
      </c>
      <c r="AQ19" s="1" t="str">
        <f>"39"</f>
        <v>39</v>
      </c>
      <c r="AR19" s="1" t="str">
        <f>"39"</f>
        <v>39</v>
      </c>
      <c r="AS19" s="1" t="str">
        <f>"39"</f>
        <v>39</v>
      </c>
      <c r="AT19" s="1" t="str">
        <f>"36"</f>
        <v>36</v>
      </c>
      <c r="AU19" s="1" t="str">
        <f>"natalia_17_08_62@mair.ru"</f>
        <v>natalia_17_08_62@mair.ru</v>
      </c>
      <c r="AV19" s="1" t="str">
        <f>"87779835801"</f>
        <v>87779835801</v>
      </c>
      <c r="AW19" s="1" t="s">
        <v>119</v>
      </c>
      <c r="AX19" s="1" t="s">
        <v>304</v>
      </c>
      <c r="AY19" s="1"/>
      <c r="AZ19" s="1" t="s">
        <v>204</v>
      </c>
      <c r="BA19" s="1"/>
      <c r="BB19" s="1"/>
      <c r="BC19" s="1"/>
      <c r="BD19" s="1" t="s">
        <v>294</v>
      </c>
      <c r="BE19" s="1" t="s">
        <v>122</v>
      </c>
      <c r="BF19" s="1">
        <v>1.5</v>
      </c>
      <c r="BG19" s="1" t="str">
        <f>"[24]"</f>
        <v>[24]</v>
      </c>
      <c r="BH19" s="1" t="s">
        <v>118</v>
      </c>
      <c r="BI19" s="1">
        <v>0</v>
      </c>
      <c r="BJ19" s="1"/>
      <c r="BK19" s="1"/>
      <c r="BL19" s="1"/>
      <c r="BM19" s="1"/>
      <c r="BN19" s="1" t="s">
        <v>256</v>
      </c>
      <c r="BO19" s="1"/>
      <c r="BP19" s="1"/>
      <c r="BQ19" s="1"/>
      <c r="BR19" s="1" t="s">
        <v>131</v>
      </c>
      <c r="BS19" s="1"/>
      <c r="BT19" s="1"/>
      <c r="BU19" s="1" t="s">
        <v>123</v>
      </c>
      <c r="BV19" s="1" t="s">
        <v>294</v>
      </c>
      <c r="BW19" s="1" t="s">
        <v>124</v>
      </c>
      <c r="BX19" s="1" t="s">
        <v>125</v>
      </c>
      <c r="BY19" s="1" t="s">
        <v>341</v>
      </c>
      <c r="BZ19" s="1">
        <v>120</v>
      </c>
      <c r="CA19" s="1" t="s">
        <v>342</v>
      </c>
      <c r="CB19" s="1" t="s">
        <v>343</v>
      </c>
      <c r="CC19" s="1">
        <v>2810</v>
      </c>
      <c r="CD19" s="1" t="s">
        <v>294</v>
      </c>
      <c r="CE19" s="1" t="s">
        <v>344</v>
      </c>
      <c r="CF19" s="1" t="s">
        <v>146</v>
      </c>
      <c r="CG19" s="1"/>
      <c r="CH19" s="1"/>
      <c r="CI19" s="1" t="str">
        <f t="shared" si="0"/>
        <v>0</v>
      </c>
      <c r="CJ19" s="1"/>
      <c r="CK19" s="1"/>
      <c r="CL19" s="1" t="s">
        <v>136</v>
      </c>
      <c r="CM19" s="1"/>
      <c r="CN19" s="1" t="s">
        <v>132</v>
      </c>
      <c r="CO19" s="1" t="s">
        <v>118</v>
      </c>
    </row>
    <row r="20" spans="1:93" hidden="1" x14ac:dyDescent="0.3">
      <c r="A20" s="1">
        <v>180851</v>
      </c>
      <c r="B20" s="1">
        <v>155905</v>
      </c>
      <c r="C20" s="1" t="str">
        <f>"650117401451"</f>
        <v>650117401451</v>
      </c>
      <c r="D20" s="1" t="s">
        <v>345</v>
      </c>
      <c r="E20" s="1" t="s">
        <v>346</v>
      </c>
      <c r="F20" s="1" t="s">
        <v>347</v>
      </c>
      <c r="G20" s="2">
        <v>23759</v>
      </c>
      <c r="H20" s="1"/>
      <c r="I20" s="1" t="s">
        <v>106</v>
      </c>
      <c r="J20" s="1" t="s">
        <v>107</v>
      </c>
      <c r="K20" s="1" t="s">
        <v>198</v>
      </c>
      <c r="L20" s="1"/>
      <c r="M20" s="1"/>
      <c r="N20" s="1"/>
      <c r="O20" s="1"/>
      <c r="P20" s="1" t="s">
        <v>109</v>
      </c>
      <c r="Q20" s="1"/>
      <c r="R20" s="1"/>
      <c r="S20" s="1"/>
      <c r="T20" s="1"/>
      <c r="U20" s="1"/>
      <c r="V20" s="1"/>
      <c r="W20" s="1" t="str">
        <f>"1987-07-30T00:00:00"</f>
        <v>1987-07-30T00:00:00</v>
      </c>
      <c r="X20" s="1" t="str">
        <f>"140/4"</f>
        <v>140/4</v>
      </c>
      <c r="Y20" s="1"/>
      <c r="Z20" s="1" t="s">
        <v>168</v>
      </c>
      <c r="AA20" s="1" t="s">
        <v>111</v>
      </c>
      <c r="AB20" s="1"/>
      <c r="AC20" s="1"/>
      <c r="AD20" s="1"/>
      <c r="AE20" s="1" t="s">
        <v>138</v>
      </c>
      <c r="AF20" s="1" t="s">
        <v>200</v>
      </c>
      <c r="AG20" s="1">
        <v>1.4</v>
      </c>
      <c r="AH20" s="1" t="s">
        <v>114</v>
      </c>
      <c r="AI20" s="1" t="s">
        <v>115</v>
      </c>
      <c r="AJ20" s="1" t="s">
        <v>116</v>
      </c>
      <c r="AK20" s="1"/>
      <c r="AL20" s="1"/>
      <c r="AM20" s="1"/>
      <c r="AN20" s="1" t="s">
        <v>117</v>
      </c>
      <c r="AO20" s="1" t="s">
        <v>118</v>
      </c>
      <c r="AP20" s="1" t="str">
        <f>"1"</f>
        <v>1</v>
      </c>
      <c r="AQ20" s="1" t="str">
        <f>"37"</f>
        <v>37</v>
      </c>
      <c r="AR20" s="1" t="str">
        <f>"37"</f>
        <v>37</v>
      </c>
      <c r="AS20" s="1" t="str">
        <f>"37"</f>
        <v>37</v>
      </c>
      <c r="AT20" s="1" t="str">
        <f>"36"</f>
        <v>36</v>
      </c>
      <c r="AU20" s="1" t="str">
        <f>"Teacher_17@mail.ru"</f>
        <v>Teacher_17@mail.ru</v>
      </c>
      <c r="AV20" s="1" t="str">
        <f>"87012511356"</f>
        <v>87012511356</v>
      </c>
      <c r="AW20" s="1" t="s">
        <v>139</v>
      </c>
      <c r="AX20" s="1" t="s">
        <v>153</v>
      </c>
      <c r="AY20" s="1"/>
      <c r="AZ20" s="1" t="s">
        <v>204</v>
      </c>
      <c r="BA20" s="1"/>
      <c r="BB20" s="1"/>
      <c r="BC20" s="1"/>
      <c r="BD20" s="1" t="s">
        <v>205</v>
      </c>
      <c r="BE20" s="1" t="s">
        <v>122</v>
      </c>
      <c r="BF20" s="1">
        <v>1.4</v>
      </c>
      <c r="BG20" s="1" t="str">
        <f>"[21]"</f>
        <v>[21]</v>
      </c>
      <c r="BH20" s="1" t="s">
        <v>118</v>
      </c>
      <c r="BI20" s="1">
        <v>0</v>
      </c>
      <c r="BJ20" s="1"/>
      <c r="BK20" s="1"/>
      <c r="BL20" s="1"/>
      <c r="BM20" s="1"/>
      <c r="BN20" s="1" t="s">
        <v>256</v>
      </c>
      <c r="BO20" s="1"/>
      <c r="BP20" s="1"/>
      <c r="BQ20" s="1"/>
      <c r="BR20" s="1" t="s">
        <v>131</v>
      </c>
      <c r="BS20" s="1"/>
      <c r="BT20" s="1"/>
      <c r="BU20" s="1" t="s">
        <v>348</v>
      </c>
      <c r="BV20" s="1" t="s">
        <v>349</v>
      </c>
      <c r="BW20" s="1" t="s">
        <v>350</v>
      </c>
      <c r="BX20" s="1" t="s">
        <v>260</v>
      </c>
      <c r="BY20" s="1" t="s">
        <v>261</v>
      </c>
      <c r="BZ20" s="1" t="s">
        <v>351</v>
      </c>
      <c r="CA20" s="1" t="s">
        <v>352</v>
      </c>
      <c r="CB20" s="1" t="s">
        <v>353</v>
      </c>
      <c r="CC20" s="1" t="s">
        <v>354</v>
      </c>
      <c r="CD20" s="1" t="s">
        <v>164</v>
      </c>
      <c r="CE20" s="1" t="s">
        <v>355</v>
      </c>
      <c r="CF20" s="3">
        <v>45383</v>
      </c>
      <c r="CG20" s="1"/>
      <c r="CH20" s="1"/>
      <c r="CI20" s="1" t="str">
        <f t="shared" si="0"/>
        <v>0</v>
      </c>
      <c r="CJ20" s="1"/>
      <c r="CK20" s="1"/>
      <c r="CL20" s="1" t="s">
        <v>131</v>
      </c>
      <c r="CM20" s="1"/>
      <c r="CN20" s="1" t="s">
        <v>132</v>
      </c>
      <c r="CO20" s="1" t="s">
        <v>230</v>
      </c>
    </row>
    <row r="21" spans="1:93" hidden="1" x14ac:dyDescent="0.3">
      <c r="A21" s="1">
        <v>180876</v>
      </c>
      <c r="B21" s="1">
        <v>155920</v>
      </c>
      <c r="C21" s="1" t="str">
        <f>"630329450339"</f>
        <v>630329450339</v>
      </c>
      <c r="D21" s="1" t="s">
        <v>356</v>
      </c>
      <c r="E21" s="1" t="s">
        <v>252</v>
      </c>
      <c r="F21" s="1" t="s">
        <v>340</v>
      </c>
      <c r="G21" s="2">
        <v>23099</v>
      </c>
      <c r="H21" s="1"/>
      <c r="I21" s="1" t="s">
        <v>106</v>
      </c>
      <c r="J21" s="1" t="s">
        <v>107</v>
      </c>
      <c r="K21" s="1" t="s">
        <v>198</v>
      </c>
      <c r="L21" s="1"/>
      <c r="M21" s="1"/>
      <c r="N21" s="1"/>
      <c r="O21" s="1"/>
      <c r="P21" s="1" t="s">
        <v>109</v>
      </c>
      <c r="Q21" s="1"/>
      <c r="R21" s="1"/>
      <c r="S21" s="1"/>
      <c r="T21" s="1"/>
      <c r="U21" s="1"/>
      <c r="V21" s="1"/>
      <c r="W21" s="1" t="str">
        <f>"1984-08-22T00:00:00"</f>
        <v>1984-08-22T00:00:00</v>
      </c>
      <c r="X21" s="1" t="str">
        <f>"238/04"</f>
        <v>238/04</v>
      </c>
      <c r="Y21" s="1"/>
      <c r="Z21" s="1" t="s">
        <v>168</v>
      </c>
      <c r="AA21" s="1" t="s">
        <v>111</v>
      </c>
      <c r="AB21" s="1"/>
      <c r="AC21" s="1"/>
      <c r="AD21" s="1"/>
      <c r="AE21" s="1" t="s">
        <v>138</v>
      </c>
      <c r="AF21" s="1" t="s">
        <v>200</v>
      </c>
      <c r="AG21" s="1">
        <v>1.3</v>
      </c>
      <c r="AH21" s="1" t="s">
        <v>114</v>
      </c>
      <c r="AI21" s="1" t="s">
        <v>115</v>
      </c>
      <c r="AJ21" s="1" t="s">
        <v>116</v>
      </c>
      <c r="AK21" s="1"/>
      <c r="AL21" s="1"/>
      <c r="AM21" s="1"/>
      <c r="AN21" s="1" t="s">
        <v>117</v>
      </c>
      <c r="AO21" s="1" t="s">
        <v>118</v>
      </c>
      <c r="AP21" s="1" t="str">
        <f>"0"</f>
        <v>0</v>
      </c>
      <c r="AQ21" s="1" t="str">
        <f>"39"</f>
        <v>39</v>
      </c>
      <c r="AR21" s="1" t="str">
        <f>"39"</f>
        <v>39</v>
      </c>
      <c r="AS21" s="1" t="str">
        <f>"39"</f>
        <v>39</v>
      </c>
      <c r="AT21" s="1" t="str">
        <f>"39"</f>
        <v>39</v>
      </c>
      <c r="AU21" s="1" t="str">
        <f>"tanya_tany_a@inboxr.ru"</f>
        <v>tanya_tany_a@inboxr.ru</v>
      </c>
      <c r="AV21" s="1" t="str">
        <f>"87011491011"</f>
        <v>87011491011</v>
      </c>
      <c r="AW21" s="1" t="s">
        <v>139</v>
      </c>
      <c r="AX21" s="1" t="s">
        <v>202</v>
      </c>
      <c r="AY21" s="1"/>
      <c r="AZ21" s="1" t="s">
        <v>204</v>
      </c>
      <c r="BA21" s="1"/>
      <c r="BB21" s="1"/>
      <c r="BC21" s="1"/>
      <c r="BD21" s="1" t="s">
        <v>205</v>
      </c>
      <c r="BE21" s="1" t="s">
        <v>122</v>
      </c>
      <c r="BF21" s="1">
        <v>1.3</v>
      </c>
      <c r="BG21" s="1" t="str">
        <f>"[20]"</f>
        <v>[20]</v>
      </c>
      <c r="BH21" s="1" t="s">
        <v>118</v>
      </c>
      <c r="BI21" s="1">
        <v>0</v>
      </c>
      <c r="BJ21" s="1"/>
      <c r="BK21" s="1"/>
      <c r="BL21" s="1"/>
      <c r="BM21" s="1"/>
      <c r="BN21" s="1" t="s">
        <v>154</v>
      </c>
      <c r="BO21" s="1"/>
      <c r="BP21" s="1"/>
      <c r="BQ21" s="1"/>
      <c r="BR21" s="1" t="s">
        <v>131</v>
      </c>
      <c r="BS21" s="1"/>
      <c r="BT21" s="1"/>
      <c r="BU21" s="1" t="s">
        <v>123</v>
      </c>
      <c r="BV21" s="1" t="s">
        <v>205</v>
      </c>
      <c r="BW21" s="1" t="s">
        <v>124</v>
      </c>
      <c r="BX21" s="1" t="s">
        <v>125</v>
      </c>
      <c r="BY21" s="1" t="s">
        <v>341</v>
      </c>
      <c r="BZ21" s="1">
        <v>120</v>
      </c>
      <c r="CA21" s="1" t="s">
        <v>357</v>
      </c>
      <c r="CB21" s="1" t="s">
        <v>358</v>
      </c>
      <c r="CC21" s="1">
        <v>2412</v>
      </c>
      <c r="CD21" s="1" t="s">
        <v>164</v>
      </c>
      <c r="CE21" s="1" t="s">
        <v>229</v>
      </c>
      <c r="CF21" s="3">
        <v>45383</v>
      </c>
      <c r="CG21" s="1"/>
      <c r="CH21" s="1"/>
      <c r="CI21" s="1" t="str">
        <f t="shared" si="0"/>
        <v>0</v>
      </c>
      <c r="CJ21" s="1"/>
      <c r="CK21" s="1"/>
      <c r="CL21" s="1" t="s">
        <v>131</v>
      </c>
      <c r="CM21" s="1"/>
      <c r="CN21" s="1" t="s">
        <v>132</v>
      </c>
      <c r="CO21" s="1" t="s">
        <v>118</v>
      </c>
    </row>
    <row r="22" spans="1:93" hidden="1" x14ac:dyDescent="0.3">
      <c r="A22" s="1">
        <v>180889</v>
      </c>
      <c r="B22" s="1">
        <v>155930</v>
      </c>
      <c r="C22" s="1" t="str">
        <f>"731112450303"</f>
        <v>731112450303</v>
      </c>
      <c r="D22" s="1" t="s">
        <v>359</v>
      </c>
      <c r="E22" s="1" t="s">
        <v>360</v>
      </c>
      <c r="F22" s="1" t="s">
        <v>361</v>
      </c>
      <c r="G22" s="2">
        <v>26980</v>
      </c>
      <c r="H22" s="1"/>
      <c r="I22" s="1" t="s">
        <v>106</v>
      </c>
      <c r="J22" s="1" t="s">
        <v>107</v>
      </c>
      <c r="K22" s="1" t="s">
        <v>362</v>
      </c>
      <c r="L22" s="1"/>
      <c r="M22" s="1"/>
      <c r="N22" s="1"/>
      <c r="O22" s="1"/>
      <c r="P22" s="1" t="s">
        <v>109</v>
      </c>
      <c r="Q22" s="1" t="s">
        <v>131</v>
      </c>
      <c r="R22" s="1" t="s">
        <v>363</v>
      </c>
      <c r="S22" s="1" t="s">
        <v>364</v>
      </c>
      <c r="T22" s="1" t="s">
        <v>365</v>
      </c>
      <c r="U22" s="1" t="str">
        <f>"2022-12-27T16:03:50"</f>
        <v>2022-12-27T16:03:50</v>
      </c>
      <c r="V22" s="1" t="str">
        <f>"2023-12-27T00:00:00"</f>
        <v>2023-12-27T00:00:00</v>
      </c>
      <c r="W22" s="1" t="str">
        <f>"2005-08-25T00:00:00"</f>
        <v>2005-08-25T00:00:00</v>
      </c>
      <c r="X22" s="1" t="str">
        <f>"28"</f>
        <v>28</v>
      </c>
      <c r="Y22" s="1"/>
      <c r="Z22" s="1" t="s">
        <v>366</v>
      </c>
      <c r="AA22" s="1" t="s">
        <v>111</v>
      </c>
      <c r="AB22" s="1"/>
      <c r="AC22" s="1"/>
      <c r="AD22" s="1"/>
      <c r="AE22" s="1" t="s">
        <v>138</v>
      </c>
      <c r="AF22" s="1" t="s">
        <v>113</v>
      </c>
      <c r="AG22" s="1">
        <v>1.5</v>
      </c>
      <c r="AH22" s="1" t="s">
        <v>114</v>
      </c>
      <c r="AI22" s="1" t="s">
        <v>115</v>
      </c>
      <c r="AJ22" s="1" t="s">
        <v>116</v>
      </c>
      <c r="AK22" s="1"/>
      <c r="AL22" s="1"/>
      <c r="AM22" s="1"/>
      <c r="AN22" s="1" t="s">
        <v>117</v>
      </c>
      <c r="AO22" s="1" t="s">
        <v>118</v>
      </c>
      <c r="AP22" s="1" t="str">
        <f>"15"</f>
        <v>15</v>
      </c>
      <c r="AQ22" s="1" t="str">
        <f>"33"</f>
        <v>33</v>
      </c>
      <c r="AR22" s="1" t="str">
        <f>"33"</f>
        <v>33</v>
      </c>
      <c r="AS22" s="1" t="str">
        <f>"33"</f>
        <v>33</v>
      </c>
      <c r="AT22" s="1" t="str">
        <f>"18"</f>
        <v>18</v>
      </c>
      <c r="AU22" s="1" t="str">
        <f>"vaierya.1973@mail.ru"</f>
        <v>vaierya.1973@mail.ru</v>
      </c>
      <c r="AV22" s="1" t="str">
        <f>"87089948414"</f>
        <v>87089948414</v>
      </c>
      <c r="AW22" s="1" t="s">
        <v>152</v>
      </c>
      <c r="AX22" s="1" t="s">
        <v>221</v>
      </c>
      <c r="AY22" s="1"/>
      <c r="AZ22" s="1" t="s">
        <v>204</v>
      </c>
      <c r="BA22" s="1"/>
      <c r="BB22" s="1"/>
      <c r="BC22" s="1"/>
      <c r="BD22" s="1" t="s">
        <v>367</v>
      </c>
      <c r="BE22" s="1" t="s">
        <v>122</v>
      </c>
      <c r="BF22" s="1">
        <v>1.5</v>
      </c>
      <c r="BG22" s="1" t="str">
        <f>"[24]"</f>
        <v>[24]</v>
      </c>
      <c r="BH22" s="1" t="s">
        <v>118</v>
      </c>
      <c r="BI22" s="1">
        <v>0</v>
      </c>
      <c r="BJ22" s="1"/>
      <c r="BK22" s="1"/>
      <c r="BL22" s="1"/>
      <c r="BM22" s="1"/>
      <c r="BN22" s="1" t="s">
        <v>256</v>
      </c>
      <c r="BO22" s="1"/>
      <c r="BP22" s="1"/>
      <c r="BQ22" s="1"/>
      <c r="BR22" s="1" t="s">
        <v>131</v>
      </c>
      <c r="BS22" s="1"/>
      <c r="BT22" s="1"/>
      <c r="BU22" s="1" t="s">
        <v>368</v>
      </c>
      <c r="BV22" s="1" t="s">
        <v>369</v>
      </c>
      <c r="BW22" s="1" t="s">
        <v>370</v>
      </c>
      <c r="BX22" s="1" t="s">
        <v>317</v>
      </c>
      <c r="BY22" s="1" t="s">
        <v>318</v>
      </c>
      <c r="BZ22" s="1" t="s">
        <v>371</v>
      </c>
      <c r="CA22" s="1" t="s">
        <v>372</v>
      </c>
      <c r="CB22" s="1" t="s">
        <v>373</v>
      </c>
      <c r="CC22" s="1" t="s">
        <v>374</v>
      </c>
      <c r="CD22" s="1" t="s">
        <v>375</v>
      </c>
      <c r="CE22" s="1" t="s">
        <v>376</v>
      </c>
      <c r="CF22" s="1" t="s">
        <v>146</v>
      </c>
      <c r="CG22" s="1"/>
      <c r="CH22" s="1"/>
      <c r="CI22" s="1" t="str">
        <f t="shared" si="0"/>
        <v>0</v>
      </c>
      <c r="CJ22" s="1"/>
      <c r="CK22" s="1"/>
      <c r="CL22" s="1" t="s">
        <v>136</v>
      </c>
      <c r="CM22" s="1"/>
      <c r="CN22" s="1" t="s">
        <v>132</v>
      </c>
      <c r="CO22" s="1" t="s">
        <v>118</v>
      </c>
    </row>
    <row r="23" spans="1:93" hidden="1" x14ac:dyDescent="0.3">
      <c r="A23" s="1">
        <v>180902</v>
      </c>
      <c r="B23" s="1">
        <v>155939</v>
      </c>
      <c r="C23" s="1" t="str">
        <f>"681117401648"</f>
        <v>681117401648</v>
      </c>
      <c r="D23" s="1" t="s">
        <v>377</v>
      </c>
      <c r="E23" s="1" t="s">
        <v>346</v>
      </c>
      <c r="F23" s="1" t="s">
        <v>378</v>
      </c>
      <c r="G23" s="2">
        <v>25159</v>
      </c>
      <c r="H23" s="1"/>
      <c r="I23" s="1" t="s">
        <v>106</v>
      </c>
      <c r="J23" s="1" t="s">
        <v>107</v>
      </c>
      <c r="K23" s="1" t="s">
        <v>198</v>
      </c>
      <c r="L23" s="1"/>
      <c r="M23" s="1"/>
      <c r="N23" s="1"/>
      <c r="O23" s="1"/>
      <c r="P23" s="1" t="s">
        <v>109</v>
      </c>
      <c r="Q23" s="1"/>
      <c r="R23" s="1"/>
      <c r="S23" s="1"/>
      <c r="T23" s="1"/>
      <c r="U23" s="1"/>
      <c r="V23" s="1"/>
      <c r="W23" s="1" t="str">
        <f>"2005-08-26T00:00:00"</f>
        <v>2005-08-26T00:00:00</v>
      </c>
      <c r="X23" s="1" t="str">
        <f>"148"</f>
        <v>148</v>
      </c>
      <c r="Y23" s="1"/>
      <c r="Z23" s="1" t="s">
        <v>366</v>
      </c>
      <c r="AA23" s="1" t="s">
        <v>111</v>
      </c>
      <c r="AB23" s="1"/>
      <c r="AC23" s="1"/>
      <c r="AD23" s="1"/>
      <c r="AE23" s="1" t="s">
        <v>138</v>
      </c>
      <c r="AF23" s="1" t="s">
        <v>200</v>
      </c>
      <c r="AG23" s="1">
        <v>1.1000000000000001</v>
      </c>
      <c r="AH23" s="1" t="s">
        <v>114</v>
      </c>
      <c r="AI23" s="1" t="s">
        <v>115</v>
      </c>
      <c r="AJ23" s="1" t="s">
        <v>201</v>
      </c>
      <c r="AK23" s="1"/>
      <c r="AL23" s="1"/>
      <c r="AM23" s="1"/>
      <c r="AN23" s="1" t="s">
        <v>117</v>
      </c>
      <c r="AO23" s="1" t="s">
        <v>118</v>
      </c>
      <c r="AP23" s="1" t="str">
        <f>"10"</f>
        <v>10</v>
      </c>
      <c r="AQ23" s="1" t="str">
        <f>"28"</f>
        <v>28</v>
      </c>
      <c r="AR23" s="1" t="str">
        <f>"18"</f>
        <v>18</v>
      </c>
      <c r="AS23" s="1" t="str">
        <f>"18"</f>
        <v>18</v>
      </c>
      <c r="AT23" s="1" t="str">
        <f>"18"</f>
        <v>18</v>
      </c>
      <c r="AU23" s="1" t="str">
        <f>"lenkaledi@mail.ru"</f>
        <v>lenkaledi@mail.ru</v>
      </c>
      <c r="AV23" s="1" t="str">
        <f>"87712976067"</f>
        <v>87712976067</v>
      </c>
      <c r="AW23" s="1" t="s">
        <v>152</v>
      </c>
      <c r="AX23" s="1" t="s">
        <v>221</v>
      </c>
      <c r="AY23" s="1"/>
      <c r="AZ23" s="1" t="s">
        <v>204</v>
      </c>
      <c r="BA23" s="1"/>
      <c r="BB23" s="1"/>
      <c r="BC23" s="1"/>
      <c r="BD23" s="1" t="s">
        <v>205</v>
      </c>
      <c r="BE23" s="1" t="s">
        <v>206</v>
      </c>
      <c r="BF23" s="1">
        <v>1.1000000000000001</v>
      </c>
      <c r="BG23" s="1" t="str">
        <f>"[17]"</f>
        <v>[17]</v>
      </c>
      <c r="BH23" s="1" t="s">
        <v>118</v>
      </c>
      <c r="BI23" s="1">
        <v>0</v>
      </c>
      <c r="BJ23" s="1"/>
      <c r="BK23" s="1"/>
      <c r="BL23" s="1"/>
      <c r="BM23" s="1"/>
      <c r="BN23" s="1" t="s">
        <v>256</v>
      </c>
      <c r="BO23" s="1"/>
      <c r="BP23" s="1"/>
      <c r="BQ23" s="1"/>
      <c r="BR23" s="1" t="s">
        <v>131</v>
      </c>
      <c r="BS23" s="1"/>
      <c r="BT23" s="1"/>
      <c r="BU23" s="1" t="s">
        <v>314</v>
      </c>
      <c r="BV23" s="1" t="s">
        <v>379</v>
      </c>
      <c r="BW23" s="1" t="s">
        <v>370</v>
      </c>
      <c r="BX23" s="1" t="s">
        <v>317</v>
      </c>
      <c r="BY23" s="1" t="s">
        <v>318</v>
      </c>
      <c r="BZ23" s="1" t="s">
        <v>380</v>
      </c>
      <c r="CA23" s="1" t="s">
        <v>381</v>
      </c>
      <c r="CB23" s="1" t="s">
        <v>382</v>
      </c>
      <c r="CC23" s="1" t="s">
        <v>383</v>
      </c>
      <c r="CD23" s="1" t="s">
        <v>384</v>
      </c>
      <c r="CE23" s="1" t="s">
        <v>213</v>
      </c>
      <c r="CF23" s="3">
        <v>45383</v>
      </c>
      <c r="CG23" s="1"/>
      <c r="CH23" s="1"/>
      <c r="CI23" s="1" t="str">
        <f t="shared" si="0"/>
        <v>0</v>
      </c>
      <c r="CJ23" s="1"/>
      <c r="CK23" s="1"/>
      <c r="CL23" s="1" t="s">
        <v>131</v>
      </c>
      <c r="CM23" s="1"/>
      <c r="CN23" s="1" t="s">
        <v>132</v>
      </c>
      <c r="CO23" s="1" t="s">
        <v>118</v>
      </c>
    </row>
    <row r="24" spans="1:93" hidden="1" x14ac:dyDescent="0.3">
      <c r="A24" s="1">
        <v>180908</v>
      </c>
      <c r="B24" s="1">
        <v>155942</v>
      </c>
      <c r="C24" s="1" t="str">
        <f>"720610499100"</f>
        <v>720610499100</v>
      </c>
      <c r="D24" s="1" t="s">
        <v>385</v>
      </c>
      <c r="E24" s="1" t="s">
        <v>386</v>
      </c>
      <c r="F24" s="1" t="s">
        <v>387</v>
      </c>
      <c r="G24" s="2">
        <v>26460</v>
      </c>
      <c r="H24" s="1"/>
      <c r="I24" s="1" t="s">
        <v>106</v>
      </c>
      <c r="J24" s="1" t="s">
        <v>107</v>
      </c>
      <c r="K24" s="1" t="s">
        <v>108</v>
      </c>
      <c r="L24" s="1"/>
      <c r="M24" s="1"/>
      <c r="N24" s="1"/>
      <c r="O24" s="1"/>
      <c r="P24" s="1" t="s">
        <v>109</v>
      </c>
      <c r="Q24" s="1"/>
      <c r="R24" s="1"/>
      <c r="S24" s="1"/>
      <c r="T24" s="1"/>
      <c r="U24" s="1"/>
      <c r="V24" s="1"/>
      <c r="W24" s="1" t="str">
        <f>"2011-08-25T00:00:00"</f>
        <v>2011-08-25T00:00:00</v>
      </c>
      <c r="X24" s="1" t="str">
        <f>"94"</f>
        <v>94</v>
      </c>
      <c r="Y24" s="1"/>
      <c r="Z24" s="1" t="s">
        <v>388</v>
      </c>
      <c r="AA24" s="1" t="s">
        <v>111</v>
      </c>
      <c r="AB24" s="1"/>
      <c r="AC24" s="1"/>
      <c r="AD24" s="1"/>
      <c r="AE24" s="1" t="s">
        <v>138</v>
      </c>
      <c r="AF24" s="1" t="s">
        <v>200</v>
      </c>
      <c r="AG24" s="1">
        <v>1.1000000000000001</v>
      </c>
      <c r="AH24" s="1" t="s">
        <v>114</v>
      </c>
      <c r="AI24" s="1" t="s">
        <v>115</v>
      </c>
      <c r="AJ24" s="1" t="s">
        <v>116</v>
      </c>
      <c r="AK24" s="1"/>
      <c r="AL24" s="1"/>
      <c r="AM24" s="1"/>
      <c r="AN24" s="1" t="s">
        <v>117</v>
      </c>
      <c r="AO24" s="1" t="s">
        <v>118</v>
      </c>
      <c r="AP24" s="1" t="str">
        <f>"21"</f>
        <v>21</v>
      </c>
      <c r="AQ24" s="1" t="str">
        <f>"33"</f>
        <v>33</v>
      </c>
      <c r="AR24" s="1" t="str">
        <f>"32"</f>
        <v>32</v>
      </c>
      <c r="AS24" s="1" t="str">
        <f>"32"</f>
        <v>32</v>
      </c>
      <c r="AT24" s="1" t="str">
        <f>"12"</f>
        <v>12</v>
      </c>
      <c r="AU24" s="1" t="str">
        <f>"b.n.k777@bk.ru"</f>
        <v>b.n.k777@bk.ru</v>
      </c>
      <c r="AV24" s="1" t="str">
        <f>"87055839395"</f>
        <v>87055839395</v>
      </c>
      <c r="AW24" s="1" t="s">
        <v>139</v>
      </c>
      <c r="AX24" s="1" t="s">
        <v>389</v>
      </c>
      <c r="AY24" s="1"/>
      <c r="AZ24" s="1" t="s">
        <v>183</v>
      </c>
      <c r="BA24" s="1"/>
      <c r="BB24" s="1"/>
      <c r="BC24" s="1"/>
      <c r="BD24" s="1" t="s">
        <v>205</v>
      </c>
      <c r="BE24" s="1" t="s">
        <v>122</v>
      </c>
      <c r="BF24" s="1">
        <v>1.1000000000000001</v>
      </c>
      <c r="BG24" s="1" t="str">
        <f>"[18]"</f>
        <v>[18]</v>
      </c>
      <c r="BH24" s="1" t="s">
        <v>113</v>
      </c>
      <c r="BI24" s="1">
        <v>0.4</v>
      </c>
      <c r="BJ24" s="1" t="s">
        <v>119</v>
      </c>
      <c r="BK24" s="1"/>
      <c r="BL24" s="1" t="s">
        <v>390</v>
      </c>
      <c r="BM24" s="1">
        <v>0.4</v>
      </c>
      <c r="BN24" s="1" t="s">
        <v>154</v>
      </c>
      <c r="BO24" s="1"/>
      <c r="BP24" s="1"/>
      <c r="BQ24" s="1"/>
      <c r="BR24" s="1" t="s">
        <v>131</v>
      </c>
      <c r="BS24" s="1"/>
      <c r="BT24" s="1"/>
      <c r="BU24" s="1" t="s">
        <v>123</v>
      </c>
      <c r="BV24" s="1" t="s">
        <v>205</v>
      </c>
      <c r="BW24" s="1" t="s">
        <v>124</v>
      </c>
      <c r="BX24" s="1" t="s">
        <v>125</v>
      </c>
      <c r="BY24" s="1" t="s">
        <v>126</v>
      </c>
      <c r="BZ24" s="1">
        <v>120</v>
      </c>
      <c r="CA24" s="1" t="s">
        <v>357</v>
      </c>
      <c r="CB24" s="1" t="s">
        <v>358</v>
      </c>
      <c r="CC24" s="1">
        <v>24704</v>
      </c>
      <c r="CD24" s="1" t="s">
        <v>164</v>
      </c>
      <c r="CE24" s="1" t="s">
        <v>391</v>
      </c>
      <c r="CF24" s="3">
        <v>45383</v>
      </c>
      <c r="CG24" s="1"/>
      <c r="CH24" s="1"/>
      <c r="CI24" s="1" t="str">
        <f t="shared" si="0"/>
        <v>0</v>
      </c>
      <c r="CJ24" s="1"/>
      <c r="CK24" s="1"/>
      <c r="CL24" s="1" t="s">
        <v>131</v>
      </c>
      <c r="CM24" s="1"/>
      <c r="CN24" s="1" t="s">
        <v>132</v>
      </c>
      <c r="CO24" s="1" t="s">
        <v>118</v>
      </c>
    </row>
    <row r="25" spans="1:93" hidden="1" x14ac:dyDescent="0.3">
      <c r="A25" s="1">
        <v>180982</v>
      </c>
      <c r="B25" s="1">
        <v>155997</v>
      </c>
      <c r="C25" s="1" t="str">
        <f>"810429450163"</f>
        <v>810429450163</v>
      </c>
      <c r="D25" s="1" t="s">
        <v>392</v>
      </c>
      <c r="E25" s="1" t="s">
        <v>310</v>
      </c>
      <c r="F25" s="1" t="s">
        <v>393</v>
      </c>
      <c r="G25" s="2">
        <v>29705</v>
      </c>
      <c r="H25" s="1"/>
      <c r="I25" s="1" t="s">
        <v>106</v>
      </c>
      <c r="J25" s="1" t="s">
        <v>107</v>
      </c>
      <c r="K25" s="1" t="s">
        <v>198</v>
      </c>
      <c r="L25" s="1"/>
      <c r="M25" s="1"/>
      <c r="N25" s="1"/>
      <c r="O25" s="1"/>
      <c r="P25" s="1" t="s">
        <v>109</v>
      </c>
      <c r="Q25" s="1" t="s">
        <v>136</v>
      </c>
      <c r="R25" s="1"/>
      <c r="S25" s="1"/>
      <c r="T25" s="1"/>
      <c r="U25" s="1"/>
      <c r="V25" s="1"/>
      <c r="W25" s="1" t="str">
        <f>"2002-08-26T00:00:00"</f>
        <v>2002-08-26T00:00:00</v>
      </c>
      <c r="X25" s="1" t="str">
        <f>"227"</f>
        <v>227</v>
      </c>
      <c r="Y25" s="1"/>
      <c r="Z25" s="1" t="s">
        <v>199</v>
      </c>
      <c r="AA25" s="1" t="s">
        <v>111</v>
      </c>
      <c r="AB25" s="1"/>
      <c r="AC25" s="1"/>
      <c r="AD25" s="1"/>
      <c r="AE25" s="1" t="s">
        <v>138</v>
      </c>
      <c r="AF25" s="1" t="s">
        <v>113</v>
      </c>
      <c r="AG25" s="1">
        <v>1.5</v>
      </c>
      <c r="AH25" s="1" t="s">
        <v>114</v>
      </c>
      <c r="AI25" s="1" t="s">
        <v>115</v>
      </c>
      <c r="AJ25" s="1" t="s">
        <v>116</v>
      </c>
      <c r="AK25" s="1"/>
      <c r="AL25" s="1"/>
      <c r="AM25" s="1"/>
      <c r="AN25" s="1" t="s">
        <v>117</v>
      </c>
      <c r="AO25" s="1" t="s">
        <v>118</v>
      </c>
      <c r="AP25" s="1" t="str">
        <f>"0"</f>
        <v>0</v>
      </c>
      <c r="AQ25" s="1" t="str">
        <f>"21"</f>
        <v>21</v>
      </c>
      <c r="AR25" s="1" t="str">
        <f>"21"</f>
        <v>21</v>
      </c>
      <c r="AS25" s="1" t="str">
        <f>"21"</f>
        <v>21</v>
      </c>
      <c r="AT25" s="1" t="str">
        <f>"21"</f>
        <v>21</v>
      </c>
      <c r="AU25" s="1" t="str">
        <f>"lusyacyb@mail.ru"</f>
        <v>lusyacyb@mail.ru</v>
      </c>
      <c r="AV25" s="1" t="str">
        <f>"87012706312"</f>
        <v>87012706312</v>
      </c>
      <c r="AW25" s="1" t="s">
        <v>152</v>
      </c>
      <c r="AX25" s="1" t="s">
        <v>389</v>
      </c>
      <c r="AY25" s="1"/>
      <c r="AZ25" s="1" t="s">
        <v>204</v>
      </c>
      <c r="BA25" s="1"/>
      <c r="BB25" s="1"/>
      <c r="BC25" s="1"/>
      <c r="BD25" s="1" t="s">
        <v>394</v>
      </c>
      <c r="BE25" s="1" t="s">
        <v>122</v>
      </c>
      <c r="BF25" s="1">
        <v>1.5</v>
      </c>
      <c r="BG25" s="1" t="str">
        <f>"[24]"</f>
        <v>[24]</v>
      </c>
      <c r="BH25" s="1" t="s">
        <v>113</v>
      </c>
      <c r="BI25" s="1">
        <v>0.1</v>
      </c>
      <c r="BJ25" s="1" t="s">
        <v>139</v>
      </c>
      <c r="BK25" s="1" t="s">
        <v>221</v>
      </c>
      <c r="BL25" s="1" t="s">
        <v>395</v>
      </c>
      <c r="BM25" s="1">
        <v>0.1</v>
      </c>
      <c r="BN25" s="1" t="s">
        <v>154</v>
      </c>
      <c r="BO25" s="1"/>
      <c r="BP25" s="1"/>
      <c r="BQ25" s="1"/>
      <c r="BR25" s="1" t="s">
        <v>131</v>
      </c>
      <c r="BS25" s="1"/>
      <c r="BT25" s="1"/>
      <c r="BU25" s="1" t="s">
        <v>171</v>
      </c>
      <c r="BV25" s="1" t="s">
        <v>396</v>
      </c>
      <c r="BW25" s="1" t="s">
        <v>224</v>
      </c>
      <c r="BX25" s="1" t="s">
        <v>174</v>
      </c>
      <c r="BY25" s="1" t="s">
        <v>209</v>
      </c>
      <c r="BZ25" s="1" t="s">
        <v>397</v>
      </c>
      <c r="CA25" s="1" t="s">
        <v>398</v>
      </c>
      <c r="CB25" s="1" t="s">
        <v>399</v>
      </c>
      <c r="CC25" s="1" t="s">
        <v>400</v>
      </c>
      <c r="CD25" s="1" t="s">
        <v>164</v>
      </c>
      <c r="CE25" s="1" t="s">
        <v>401</v>
      </c>
      <c r="CF25" s="1" t="s">
        <v>146</v>
      </c>
      <c r="CG25" s="1"/>
      <c r="CH25" s="1"/>
      <c r="CI25" s="1" t="str">
        <f t="shared" si="0"/>
        <v>0</v>
      </c>
      <c r="CJ25" s="1"/>
      <c r="CK25" s="1"/>
      <c r="CL25" s="1" t="s">
        <v>131</v>
      </c>
      <c r="CM25" s="1"/>
      <c r="CN25" s="1" t="s">
        <v>132</v>
      </c>
      <c r="CO25" s="1" t="s">
        <v>194</v>
      </c>
    </row>
    <row r="26" spans="1:93" hidden="1" x14ac:dyDescent="0.3">
      <c r="A26" s="1">
        <v>180988</v>
      </c>
      <c r="B26" s="1">
        <v>156001</v>
      </c>
      <c r="C26" s="1" t="str">
        <f>"750223401151"</f>
        <v>750223401151</v>
      </c>
      <c r="D26" s="1" t="s">
        <v>402</v>
      </c>
      <c r="E26" s="1" t="s">
        <v>403</v>
      </c>
      <c r="F26" s="1" t="s">
        <v>404</v>
      </c>
      <c r="G26" s="2">
        <v>27448</v>
      </c>
      <c r="H26" s="1"/>
      <c r="I26" s="1" t="s">
        <v>106</v>
      </c>
      <c r="J26" s="1" t="s">
        <v>107</v>
      </c>
      <c r="K26" s="1" t="s">
        <v>198</v>
      </c>
      <c r="L26" s="1"/>
      <c r="M26" s="1"/>
      <c r="N26" s="1"/>
      <c r="O26" s="1"/>
      <c r="P26" s="1" t="s">
        <v>109</v>
      </c>
      <c r="Q26" s="1" t="s">
        <v>136</v>
      </c>
      <c r="R26" s="1"/>
      <c r="S26" s="1"/>
      <c r="T26" s="1"/>
      <c r="U26" s="1"/>
      <c r="V26" s="1"/>
      <c r="W26" s="1" t="str">
        <f>"1995-08-22T00:00:00"</f>
        <v>1995-08-22T00:00:00</v>
      </c>
      <c r="X26" s="1" t="str">
        <f>"474"</f>
        <v>474</v>
      </c>
      <c r="Y26" s="1"/>
      <c r="Z26" s="1" t="s">
        <v>366</v>
      </c>
      <c r="AA26" s="1" t="s">
        <v>111</v>
      </c>
      <c r="AB26" s="1"/>
      <c r="AC26" s="1"/>
      <c r="AD26" s="1"/>
      <c r="AE26" s="1" t="s">
        <v>138</v>
      </c>
      <c r="AF26" s="1" t="s">
        <v>113</v>
      </c>
      <c r="AG26" s="1">
        <v>1.1000000000000001</v>
      </c>
      <c r="AH26" s="1" t="s">
        <v>114</v>
      </c>
      <c r="AI26" s="1" t="s">
        <v>115</v>
      </c>
      <c r="AJ26" s="1" t="s">
        <v>201</v>
      </c>
      <c r="AK26" s="1"/>
      <c r="AL26" s="1"/>
      <c r="AM26" s="1"/>
      <c r="AN26" s="1" t="s">
        <v>117</v>
      </c>
      <c r="AO26" s="1" t="s">
        <v>118</v>
      </c>
      <c r="AP26" s="1" t="str">
        <f>"0"</f>
        <v>0</v>
      </c>
      <c r="AQ26" s="1" t="str">
        <f>"28"</f>
        <v>28</v>
      </c>
      <c r="AR26" s="1" t="str">
        <f>"28"</f>
        <v>28</v>
      </c>
      <c r="AS26" s="1" t="str">
        <f>"28"</f>
        <v>28</v>
      </c>
      <c r="AT26" s="1" t="str">
        <f>"28"</f>
        <v>28</v>
      </c>
      <c r="AU26" s="1" t="str">
        <f>"inna_schitova@mail.ru"</f>
        <v>inna_schitova@mail.ru</v>
      </c>
      <c r="AV26" s="1" t="str">
        <f>"87012717053"</f>
        <v>87012717053</v>
      </c>
      <c r="AW26" s="1" t="s">
        <v>139</v>
      </c>
      <c r="AX26" s="1" t="s">
        <v>221</v>
      </c>
      <c r="AY26" s="1"/>
      <c r="AZ26" s="1" t="s">
        <v>204</v>
      </c>
      <c r="BA26" s="1"/>
      <c r="BB26" s="1"/>
      <c r="BC26" s="1"/>
      <c r="BD26" s="1" t="s">
        <v>390</v>
      </c>
      <c r="BE26" s="1" t="s">
        <v>206</v>
      </c>
      <c r="BF26" s="1">
        <v>1.1000000000000001</v>
      </c>
      <c r="BG26" s="1" t="str">
        <f>"[17]"</f>
        <v>[17]</v>
      </c>
      <c r="BH26" s="1" t="s">
        <v>405</v>
      </c>
      <c r="BI26" s="1">
        <v>0.5</v>
      </c>
      <c r="BJ26" s="1"/>
      <c r="BK26" s="1"/>
      <c r="BL26" s="1"/>
      <c r="BM26" s="1"/>
      <c r="BN26" s="1" t="s">
        <v>154</v>
      </c>
      <c r="BO26" s="1"/>
      <c r="BP26" s="1"/>
      <c r="BQ26" s="1"/>
      <c r="BR26" s="1" t="s">
        <v>131</v>
      </c>
      <c r="BS26" s="1"/>
      <c r="BT26" s="1"/>
      <c r="BU26" s="1" t="s">
        <v>271</v>
      </c>
      <c r="BV26" s="1" t="s">
        <v>406</v>
      </c>
      <c r="BW26" s="1" t="s">
        <v>187</v>
      </c>
      <c r="BX26" s="1" t="s">
        <v>174</v>
      </c>
      <c r="BY26" s="1" t="s">
        <v>209</v>
      </c>
      <c r="BZ26" s="1" t="s">
        <v>407</v>
      </c>
      <c r="CA26" s="1" t="s">
        <v>408</v>
      </c>
      <c r="CB26" s="1" t="s">
        <v>409</v>
      </c>
      <c r="CC26" s="1" t="s">
        <v>410</v>
      </c>
      <c r="CD26" s="1" t="s">
        <v>390</v>
      </c>
      <c r="CE26" s="1" t="s">
        <v>411</v>
      </c>
      <c r="CF26" s="1" t="s">
        <v>146</v>
      </c>
      <c r="CG26" s="1"/>
      <c r="CH26" s="1"/>
      <c r="CI26" s="1" t="str">
        <f t="shared" si="0"/>
        <v>0</v>
      </c>
      <c r="CJ26" s="1"/>
      <c r="CK26" s="1"/>
      <c r="CL26" s="1" t="s">
        <v>131</v>
      </c>
      <c r="CM26" s="1"/>
      <c r="CN26" s="1" t="s">
        <v>132</v>
      </c>
      <c r="CO26" s="1" t="s">
        <v>118</v>
      </c>
    </row>
    <row r="27" spans="1:93" hidden="1" x14ac:dyDescent="0.3">
      <c r="A27" s="1">
        <v>181015</v>
      </c>
      <c r="B27" s="1">
        <v>156021</v>
      </c>
      <c r="C27" s="1" t="str">
        <f>"780217402836"</f>
        <v>780217402836</v>
      </c>
      <c r="D27" s="1" t="s">
        <v>412</v>
      </c>
      <c r="E27" s="1" t="s">
        <v>413</v>
      </c>
      <c r="F27" s="1" t="s">
        <v>414</v>
      </c>
      <c r="G27" s="2">
        <v>28538</v>
      </c>
      <c r="H27" s="1"/>
      <c r="I27" s="1" t="s">
        <v>106</v>
      </c>
      <c r="J27" s="1" t="s">
        <v>107</v>
      </c>
      <c r="K27" s="1" t="s">
        <v>198</v>
      </c>
      <c r="L27" s="1"/>
      <c r="M27" s="1"/>
      <c r="N27" s="1"/>
      <c r="O27" s="1"/>
      <c r="P27" s="1" t="s">
        <v>109</v>
      </c>
      <c r="Q27" s="1" t="s">
        <v>136</v>
      </c>
      <c r="R27" s="1"/>
      <c r="S27" s="1"/>
      <c r="T27" s="1"/>
      <c r="U27" s="1"/>
      <c r="V27" s="1"/>
      <c r="W27" s="1" t="str">
        <f>"2012-08-25T00:00:00"</f>
        <v>2012-08-25T00:00:00</v>
      </c>
      <c r="X27" s="1" t="str">
        <f>"54/1"</f>
        <v>54/1</v>
      </c>
      <c r="Y27" s="1"/>
      <c r="Z27" s="1" t="s">
        <v>137</v>
      </c>
      <c r="AA27" s="1" t="s">
        <v>111</v>
      </c>
      <c r="AB27" s="1"/>
      <c r="AC27" s="1"/>
      <c r="AD27" s="1"/>
      <c r="AE27" s="1" t="s">
        <v>138</v>
      </c>
      <c r="AF27" s="1" t="s">
        <v>200</v>
      </c>
      <c r="AG27" s="1">
        <v>1</v>
      </c>
      <c r="AH27" s="1" t="s">
        <v>114</v>
      </c>
      <c r="AI27" s="1" t="s">
        <v>115</v>
      </c>
      <c r="AJ27" s="1" t="s">
        <v>116</v>
      </c>
      <c r="AK27" s="1"/>
      <c r="AL27" s="1"/>
      <c r="AM27" s="1"/>
      <c r="AN27" s="1" t="s">
        <v>117</v>
      </c>
      <c r="AO27" s="1" t="s">
        <v>118</v>
      </c>
      <c r="AP27" s="1" t="str">
        <f>"8"</f>
        <v>8</v>
      </c>
      <c r="AQ27" s="1" t="str">
        <f>"19"</f>
        <v>19</v>
      </c>
      <c r="AR27" s="1" t="str">
        <f>"18"</f>
        <v>18</v>
      </c>
      <c r="AS27" s="1" t="str">
        <f>"18"</f>
        <v>18</v>
      </c>
      <c r="AT27" s="1" t="str">
        <f>"11"</f>
        <v>11</v>
      </c>
      <c r="AU27" s="1" t="str">
        <f>"irs78irs@mail.ru"</f>
        <v>irs78irs@mail.ru</v>
      </c>
      <c r="AV27" s="1" t="str">
        <f>"87021633078"</f>
        <v>87021633078</v>
      </c>
      <c r="AW27" s="1" t="s">
        <v>139</v>
      </c>
      <c r="AX27" s="1" t="s">
        <v>153</v>
      </c>
      <c r="AY27" s="1"/>
      <c r="AZ27" s="1" t="s">
        <v>204</v>
      </c>
      <c r="BA27" s="1"/>
      <c r="BB27" s="1"/>
      <c r="BC27" s="1"/>
      <c r="BD27" s="1" t="s">
        <v>205</v>
      </c>
      <c r="BE27" s="1" t="s">
        <v>122</v>
      </c>
      <c r="BF27" s="1">
        <v>1</v>
      </c>
      <c r="BG27" s="1" t="str">
        <f>"[16]"</f>
        <v>[16]</v>
      </c>
      <c r="BH27" s="1" t="s">
        <v>415</v>
      </c>
      <c r="BI27" s="1">
        <v>0.5</v>
      </c>
      <c r="BJ27" s="1" t="s">
        <v>139</v>
      </c>
      <c r="BK27" s="1" t="s">
        <v>202</v>
      </c>
      <c r="BL27" s="1"/>
      <c r="BM27" s="1"/>
      <c r="BN27" s="1" t="s">
        <v>154</v>
      </c>
      <c r="BO27" s="1"/>
      <c r="BP27" s="1"/>
      <c r="BQ27" s="1"/>
      <c r="BR27" s="1" t="s">
        <v>131</v>
      </c>
      <c r="BS27" s="1"/>
      <c r="BT27" s="1"/>
      <c r="BU27" s="1" t="s">
        <v>416</v>
      </c>
      <c r="BV27" s="1" t="s">
        <v>417</v>
      </c>
      <c r="BW27" s="1" t="s">
        <v>418</v>
      </c>
      <c r="BX27" s="1" t="s">
        <v>419</v>
      </c>
      <c r="BY27" s="1" t="s">
        <v>420</v>
      </c>
      <c r="BZ27" s="1" t="s">
        <v>421</v>
      </c>
      <c r="CA27" s="1" t="s">
        <v>422</v>
      </c>
      <c r="CB27" s="1" t="s">
        <v>423</v>
      </c>
      <c r="CC27" s="1" t="s">
        <v>424</v>
      </c>
      <c r="CD27" s="1" t="s">
        <v>205</v>
      </c>
      <c r="CE27" s="1" t="s">
        <v>355</v>
      </c>
      <c r="CF27" s="3">
        <v>45383</v>
      </c>
      <c r="CG27" s="1"/>
      <c r="CH27" s="1"/>
      <c r="CI27" s="1" t="str">
        <f t="shared" si="0"/>
        <v>0</v>
      </c>
      <c r="CJ27" s="1"/>
      <c r="CK27" s="1"/>
      <c r="CL27" s="1" t="s">
        <v>131</v>
      </c>
      <c r="CM27" s="1"/>
      <c r="CN27" s="1" t="s">
        <v>132</v>
      </c>
      <c r="CO27" s="1" t="s">
        <v>118</v>
      </c>
    </row>
    <row r="28" spans="1:93" hidden="1" x14ac:dyDescent="0.3">
      <c r="A28" s="1">
        <v>181028</v>
      </c>
      <c r="B28" s="1">
        <v>156032</v>
      </c>
      <c r="C28" s="1" t="str">
        <f>"650501401378"</f>
        <v>650501401378</v>
      </c>
      <c r="D28" s="1" t="s">
        <v>425</v>
      </c>
      <c r="E28" s="1" t="s">
        <v>426</v>
      </c>
      <c r="F28" s="1" t="s">
        <v>427</v>
      </c>
      <c r="G28" s="2">
        <v>23863</v>
      </c>
      <c r="H28" s="1"/>
      <c r="I28" s="1" t="s">
        <v>106</v>
      </c>
      <c r="J28" s="1" t="s">
        <v>107</v>
      </c>
      <c r="K28" s="1" t="s">
        <v>108</v>
      </c>
      <c r="L28" s="1"/>
      <c r="M28" s="1"/>
      <c r="N28" s="1"/>
      <c r="O28" s="1"/>
      <c r="P28" s="1" t="s">
        <v>109</v>
      </c>
      <c r="Q28" s="1" t="s">
        <v>136</v>
      </c>
      <c r="R28" s="1"/>
      <c r="S28" s="1"/>
      <c r="T28" s="1"/>
      <c r="U28" s="1"/>
      <c r="V28" s="1"/>
      <c r="W28" s="1" t="str">
        <f>"2019-12-13T00:00:00"</f>
        <v>2019-12-13T00:00:00</v>
      </c>
      <c r="X28" s="1" t="str">
        <f>"321"</f>
        <v>321</v>
      </c>
      <c r="Y28" s="1"/>
      <c r="Z28" s="1" t="s">
        <v>110</v>
      </c>
      <c r="AA28" s="1" t="s">
        <v>111</v>
      </c>
      <c r="AB28" s="1"/>
      <c r="AC28" s="1"/>
      <c r="AD28" s="1"/>
      <c r="AE28" s="1" t="s">
        <v>138</v>
      </c>
      <c r="AF28" s="1" t="s">
        <v>113</v>
      </c>
      <c r="AG28" s="1">
        <v>1.5</v>
      </c>
      <c r="AH28" s="1" t="s">
        <v>114</v>
      </c>
      <c r="AI28" s="1" t="s">
        <v>115</v>
      </c>
      <c r="AJ28" s="1" t="s">
        <v>116</v>
      </c>
      <c r="AK28" s="1"/>
      <c r="AL28" s="1"/>
      <c r="AM28" s="1"/>
      <c r="AN28" s="1" t="s">
        <v>117</v>
      </c>
      <c r="AO28" s="1" t="s">
        <v>118</v>
      </c>
      <c r="AP28" s="1" t="str">
        <f>"37"</f>
        <v>37</v>
      </c>
      <c r="AQ28" s="1" t="str">
        <f>"41"</f>
        <v>41</v>
      </c>
      <c r="AR28" s="1" t="str">
        <f>"41"</f>
        <v>41</v>
      </c>
      <c r="AS28" s="1" t="str">
        <f>"41"</f>
        <v>41</v>
      </c>
      <c r="AT28" s="1" t="str">
        <f>"4"</f>
        <v>4</v>
      </c>
      <c r="AU28" s="1" t="str">
        <f>"bzakaryanova@bk.ru"</f>
        <v>bzakaryanova@bk.ru</v>
      </c>
      <c r="AV28" s="1" t="str">
        <f>"87056466881"</f>
        <v>87056466881</v>
      </c>
      <c r="AW28" s="1" t="s">
        <v>139</v>
      </c>
      <c r="AX28" s="1" t="s">
        <v>153</v>
      </c>
      <c r="AY28" s="1"/>
      <c r="AZ28" s="1" t="s">
        <v>183</v>
      </c>
      <c r="BA28" s="1"/>
      <c r="BB28" s="1"/>
      <c r="BC28" s="1"/>
      <c r="BD28" s="1" t="s">
        <v>294</v>
      </c>
      <c r="BE28" s="1" t="s">
        <v>122</v>
      </c>
      <c r="BF28" s="1">
        <v>1.5</v>
      </c>
      <c r="BG28" s="1" t="str">
        <f>"[24]"</f>
        <v>[24]</v>
      </c>
      <c r="BH28" s="1" t="s">
        <v>118</v>
      </c>
      <c r="BI28" s="1">
        <v>0</v>
      </c>
      <c r="BJ28" s="1"/>
      <c r="BK28" s="1"/>
      <c r="BL28" s="1"/>
      <c r="BM28" s="1"/>
      <c r="BN28" s="1" t="s">
        <v>154</v>
      </c>
      <c r="BO28" s="1"/>
      <c r="BP28" s="1"/>
      <c r="BQ28" s="1"/>
      <c r="BR28" s="1" t="s">
        <v>131</v>
      </c>
      <c r="BS28" s="1"/>
      <c r="BT28" s="1"/>
      <c r="BU28" s="1" t="s">
        <v>428</v>
      </c>
      <c r="BV28" s="1" t="s">
        <v>429</v>
      </c>
      <c r="BW28" s="1" t="s">
        <v>430</v>
      </c>
      <c r="BX28" s="1" t="s">
        <v>431</v>
      </c>
      <c r="BY28" s="1" t="s">
        <v>432</v>
      </c>
      <c r="BZ28" s="1" t="s">
        <v>433</v>
      </c>
      <c r="CA28" s="1" t="s">
        <v>434</v>
      </c>
      <c r="CB28" s="1" t="s">
        <v>435</v>
      </c>
      <c r="CC28" s="1" t="s">
        <v>436</v>
      </c>
      <c r="CD28" s="1" t="s">
        <v>164</v>
      </c>
      <c r="CE28" s="1" t="s">
        <v>437</v>
      </c>
      <c r="CF28" s="1" t="s">
        <v>146</v>
      </c>
      <c r="CG28" s="1"/>
      <c r="CH28" s="1"/>
      <c r="CI28" s="1" t="str">
        <f t="shared" si="0"/>
        <v>0</v>
      </c>
      <c r="CJ28" s="1"/>
      <c r="CK28" s="1"/>
      <c r="CL28" s="1" t="s">
        <v>136</v>
      </c>
      <c r="CM28" s="1"/>
      <c r="CN28" s="1" t="s">
        <v>132</v>
      </c>
      <c r="CO28" s="1" t="s">
        <v>118</v>
      </c>
    </row>
    <row r="29" spans="1:93" x14ac:dyDescent="0.3">
      <c r="A29" s="1">
        <v>181046</v>
      </c>
      <c r="B29" s="1">
        <v>156045</v>
      </c>
      <c r="C29" s="1" t="str">
        <f>"780918401501"</f>
        <v>780918401501</v>
      </c>
      <c r="D29" s="1" t="s">
        <v>438</v>
      </c>
      <c r="E29" s="1" t="s">
        <v>439</v>
      </c>
      <c r="F29" s="1" t="s">
        <v>347</v>
      </c>
      <c r="G29" s="2">
        <v>28751</v>
      </c>
      <c r="H29" s="1"/>
      <c r="I29" s="1" t="s">
        <v>106</v>
      </c>
      <c r="J29" s="1" t="s">
        <v>107</v>
      </c>
      <c r="K29" s="1" t="s">
        <v>198</v>
      </c>
      <c r="L29" s="1"/>
      <c r="M29" s="1"/>
      <c r="N29" s="1"/>
      <c r="O29" s="1"/>
      <c r="P29" s="1" t="s">
        <v>109</v>
      </c>
      <c r="Q29" s="1"/>
      <c r="R29" s="1"/>
      <c r="S29" s="1"/>
      <c r="T29" s="1"/>
      <c r="U29" s="1"/>
      <c r="V29" s="1"/>
      <c r="W29" s="1" t="str">
        <f>"2004-09-01T00:00:00"</f>
        <v>2004-09-01T00:00:00</v>
      </c>
      <c r="X29" s="1" t="str">
        <f>"52"</f>
        <v>52</v>
      </c>
      <c r="Y29" s="1"/>
      <c r="Z29" s="1" t="s">
        <v>110</v>
      </c>
      <c r="AA29" s="1" t="s">
        <v>111</v>
      </c>
      <c r="AB29" s="1"/>
      <c r="AC29" s="1"/>
      <c r="AD29" s="1"/>
      <c r="AE29" s="1" t="s">
        <v>138</v>
      </c>
      <c r="AF29" s="1" t="s">
        <v>440</v>
      </c>
      <c r="AG29" s="1">
        <v>1.5</v>
      </c>
      <c r="AH29" s="1" t="s">
        <v>114</v>
      </c>
      <c r="AI29" s="1" t="s">
        <v>115</v>
      </c>
      <c r="AJ29" s="1" t="s">
        <v>441</v>
      </c>
      <c r="AK29" s="1"/>
      <c r="AL29" s="1"/>
      <c r="AM29" s="1"/>
      <c r="AN29" s="1" t="s">
        <v>442</v>
      </c>
      <c r="AO29" s="1"/>
      <c r="AP29" s="1" t="str">
        <f>"0"</f>
        <v>0</v>
      </c>
      <c r="AQ29" s="1" t="str">
        <f>"19"</f>
        <v>19</v>
      </c>
      <c r="AR29" s="1"/>
      <c r="AS29" s="1" t="str">
        <f>"0"</f>
        <v>0</v>
      </c>
      <c r="AT29" s="1" t="str">
        <f>"19"</f>
        <v>19</v>
      </c>
      <c r="AU29" s="1"/>
      <c r="AV29" s="1"/>
      <c r="AW29" s="1"/>
      <c r="AX29" s="1"/>
      <c r="AY29" s="1"/>
      <c r="AZ29" s="1" t="s">
        <v>130</v>
      </c>
      <c r="BA29" s="1"/>
      <c r="BB29" s="1"/>
      <c r="BC29" s="1"/>
      <c r="BD29" s="1"/>
      <c r="BE29" s="1"/>
      <c r="BF29" s="1"/>
      <c r="BG29" s="1"/>
      <c r="BH29" s="1" t="s">
        <v>118</v>
      </c>
      <c r="BI29" s="1">
        <v>0</v>
      </c>
      <c r="BJ29" s="1"/>
      <c r="BK29" s="1"/>
      <c r="BL29" s="1"/>
      <c r="BM29" s="1"/>
      <c r="BN29" s="1"/>
      <c r="BO29" s="1"/>
      <c r="BP29" s="1"/>
      <c r="BQ29" s="1"/>
      <c r="BR29" s="1"/>
      <c r="BS29" s="1"/>
      <c r="BT29" s="1"/>
      <c r="BU29" s="1"/>
      <c r="BV29" s="1"/>
      <c r="BW29" s="1"/>
      <c r="BX29" s="1"/>
      <c r="BY29" s="1"/>
      <c r="BZ29" s="1"/>
      <c r="CA29" s="1"/>
      <c r="CB29" s="1"/>
      <c r="CC29" s="1"/>
      <c r="CD29" s="1"/>
      <c r="CE29" s="1" t="s">
        <v>130</v>
      </c>
      <c r="CF29" s="1"/>
      <c r="CG29" s="1"/>
      <c r="CH29" s="1"/>
      <c r="CI29" s="1"/>
      <c r="CJ29" s="1"/>
      <c r="CK29" s="1"/>
      <c r="CL29" s="1"/>
      <c r="CM29" s="1"/>
      <c r="CN29" s="1"/>
      <c r="CO29" s="1"/>
    </row>
    <row r="30" spans="1:93" x14ac:dyDescent="0.3">
      <c r="A30" s="1">
        <v>181092</v>
      </c>
      <c r="B30" s="1">
        <v>156076</v>
      </c>
      <c r="C30" s="1" t="str">
        <f>"660820450027"</f>
        <v>660820450027</v>
      </c>
      <c r="D30" s="1" t="s">
        <v>443</v>
      </c>
      <c r="E30" s="1" t="s">
        <v>104</v>
      </c>
      <c r="F30" s="1" t="s">
        <v>444</v>
      </c>
      <c r="G30" s="2">
        <v>24339</v>
      </c>
      <c r="H30" s="1"/>
      <c r="I30" s="1" t="s">
        <v>106</v>
      </c>
      <c r="J30" s="1" t="s">
        <v>107</v>
      </c>
      <c r="K30" s="1" t="s">
        <v>108</v>
      </c>
      <c r="L30" s="1"/>
      <c r="M30" s="1"/>
      <c r="N30" s="1"/>
      <c r="O30" s="1"/>
      <c r="P30" s="1" t="s">
        <v>109</v>
      </c>
      <c r="Q30" s="1" t="s">
        <v>136</v>
      </c>
      <c r="R30" s="1"/>
      <c r="S30" s="1"/>
      <c r="T30" s="1"/>
      <c r="U30" s="1"/>
      <c r="V30" s="1"/>
      <c r="W30" s="1" t="str">
        <f>"2015-09-02T00:00:00"</f>
        <v>2015-09-02T00:00:00</v>
      </c>
      <c r="X30" s="1" t="str">
        <f>"129"</f>
        <v>129</v>
      </c>
      <c r="Y30" s="1"/>
      <c r="Z30" s="1" t="s">
        <v>110</v>
      </c>
      <c r="AA30" s="1" t="s">
        <v>111</v>
      </c>
      <c r="AB30" s="1"/>
      <c r="AC30" s="1"/>
      <c r="AD30" s="1"/>
      <c r="AE30" s="1" t="s">
        <v>138</v>
      </c>
      <c r="AF30" s="1" t="s">
        <v>445</v>
      </c>
      <c r="AG30" s="1">
        <v>1.5</v>
      </c>
      <c r="AH30" s="1" t="s">
        <v>114</v>
      </c>
      <c r="AI30" s="1" t="s">
        <v>115</v>
      </c>
      <c r="AJ30" s="1" t="s">
        <v>446</v>
      </c>
      <c r="AK30" s="1"/>
      <c r="AL30" s="1"/>
      <c r="AM30" s="1"/>
      <c r="AN30" s="1" t="s">
        <v>442</v>
      </c>
      <c r="AO30" s="1"/>
      <c r="AP30" s="1" t="str">
        <f>"7"</f>
        <v>7</v>
      </c>
      <c r="AQ30" s="1" t="str">
        <f>"15"</f>
        <v>15</v>
      </c>
      <c r="AR30" s="1"/>
      <c r="AS30" s="1" t="str">
        <f>"0"</f>
        <v>0</v>
      </c>
      <c r="AT30" s="1" t="str">
        <f>"8"</f>
        <v>8</v>
      </c>
      <c r="AU30" s="1"/>
      <c r="AV30" s="1"/>
      <c r="AW30" s="1"/>
      <c r="AX30" s="1"/>
      <c r="AY30" s="1"/>
      <c r="AZ30" s="1" t="s">
        <v>130</v>
      </c>
      <c r="BA30" s="1"/>
      <c r="BB30" s="1"/>
      <c r="BC30" s="1"/>
      <c r="BD30" s="1"/>
      <c r="BE30" s="1"/>
      <c r="BF30" s="1"/>
      <c r="BG30" s="1"/>
      <c r="BH30" s="1" t="s">
        <v>118</v>
      </c>
      <c r="BI30" s="1">
        <v>0</v>
      </c>
      <c r="BJ30" s="1"/>
      <c r="BK30" s="1"/>
      <c r="BL30" s="1"/>
      <c r="BM30" s="1"/>
      <c r="BN30" s="1"/>
      <c r="BO30" s="1"/>
      <c r="BP30" s="1"/>
      <c r="BQ30" s="1"/>
      <c r="BR30" s="1"/>
      <c r="BS30" s="1"/>
      <c r="BT30" s="1"/>
      <c r="BU30" s="1"/>
      <c r="BV30" s="1"/>
      <c r="BW30" s="1"/>
      <c r="BX30" s="1"/>
      <c r="BY30" s="1"/>
      <c r="BZ30" s="1"/>
      <c r="CA30" s="1"/>
      <c r="CB30" s="1"/>
      <c r="CC30" s="1"/>
      <c r="CD30" s="1"/>
      <c r="CE30" s="1" t="s">
        <v>130</v>
      </c>
      <c r="CF30" s="1"/>
      <c r="CG30" s="1"/>
      <c r="CH30" s="1"/>
      <c r="CI30" s="1"/>
      <c r="CJ30" s="1"/>
      <c r="CK30" s="1"/>
      <c r="CL30" s="1"/>
      <c r="CM30" s="1"/>
      <c r="CN30" s="1"/>
      <c r="CO30" s="1"/>
    </row>
    <row r="31" spans="1:93" hidden="1" x14ac:dyDescent="0.3">
      <c r="A31" s="1">
        <v>181113</v>
      </c>
      <c r="B31" s="1">
        <v>145303</v>
      </c>
      <c r="C31" s="1" t="str">
        <f>"810518400488"</f>
        <v>810518400488</v>
      </c>
      <c r="D31" s="1" t="s">
        <v>447</v>
      </c>
      <c r="E31" s="1" t="s">
        <v>448</v>
      </c>
      <c r="F31" s="1" t="s">
        <v>449</v>
      </c>
      <c r="G31" s="2">
        <v>29724</v>
      </c>
      <c r="H31" s="1"/>
      <c r="I31" s="1" t="s">
        <v>106</v>
      </c>
      <c r="J31" s="1" t="s">
        <v>107</v>
      </c>
      <c r="K31" s="1" t="s">
        <v>108</v>
      </c>
      <c r="L31" s="1"/>
      <c r="M31" s="1"/>
      <c r="N31" s="1"/>
      <c r="O31" s="1"/>
      <c r="P31" s="1" t="s">
        <v>109</v>
      </c>
      <c r="Q31" s="1" t="s">
        <v>136</v>
      </c>
      <c r="R31" s="1"/>
      <c r="S31" s="1"/>
      <c r="T31" s="1"/>
      <c r="U31" s="1"/>
      <c r="V31" s="1"/>
      <c r="W31" s="1" t="str">
        <f>"2014-08-29T00:00:00"</f>
        <v>2014-08-29T00:00:00</v>
      </c>
      <c r="X31" s="1" t="str">
        <f>"42"</f>
        <v>42</v>
      </c>
      <c r="Y31" s="1"/>
      <c r="Z31" s="1" t="s">
        <v>137</v>
      </c>
      <c r="AA31" s="1" t="s">
        <v>111</v>
      </c>
      <c r="AB31" s="1"/>
      <c r="AC31" s="1"/>
      <c r="AD31" s="1"/>
      <c r="AE31" s="1" t="s">
        <v>138</v>
      </c>
      <c r="AF31" s="1" t="s">
        <v>200</v>
      </c>
      <c r="AG31" s="1">
        <v>1.5</v>
      </c>
      <c r="AH31" s="1" t="s">
        <v>114</v>
      </c>
      <c r="AI31" s="1" t="s">
        <v>115</v>
      </c>
      <c r="AJ31" s="1" t="s">
        <v>201</v>
      </c>
      <c r="AK31" s="1"/>
      <c r="AL31" s="1"/>
      <c r="AM31" s="1"/>
      <c r="AN31" s="1" t="s">
        <v>117</v>
      </c>
      <c r="AO31" s="1" t="s">
        <v>118</v>
      </c>
      <c r="AP31" s="1" t="str">
        <f>"4"</f>
        <v>4</v>
      </c>
      <c r="AQ31" s="1" t="str">
        <f>"13"</f>
        <v>13</v>
      </c>
      <c r="AR31" s="1" t="str">
        <f>"13"</f>
        <v>13</v>
      </c>
      <c r="AS31" s="1" t="str">
        <f>"13"</f>
        <v>13</v>
      </c>
      <c r="AT31" s="1" t="str">
        <f>"9"</f>
        <v>9</v>
      </c>
      <c r="AU31" s="1" t="str">
        <f>"Kochanova.81@mail.ru"</f>
        <v>Kochanova.81@mail.ru</v>
      </c>
      <c r="AV31" s="1" t="str">
        <f>"87712974770"</f>
        <v>87712974770</v>
      </c>
      <c r="AW31" s="1" t="s">
        <v>152</v>
      </c>
      <c r="AX31" s="1" t="s">
        <v>153</v>
      </c>
      <c r="AY31" s="1"/>
      <c r="AZ31" s="1" t="s">
        <v>183</v>
      </c>
      <c r="BA31" s="1"/>
      <c r="BB31" s="1"/>
      <c r="BC31" s="1"/>
      <c r="BD31" s="1" t="s">
        <v>205</v>
      </c>
      <c r="BE31" s="1" t="s">
        <v>206</v>
      </c>
      <c r="BF31" s="1">
        <v>1.5</v>
      </c>
      <c r="BG31" s="1" t="str">
        <f>"[24]"</f>
        <v>[24]</v>
      </c>
      <c r="BH31" s="1" t="s">
        <v>118</v>
      </c>
      <c r="BI31" s="1">
        <v>0</v>
      </c>
      <c r="BJ31" s="1"/>
      <c r="BK31" s="1"/>
      <c r="BL31" s="1"/>
      <c r="BM31" s="1"/>
      <c r="BN31" s="1" t="s">
        <v>154</v>
      </c>
      <c r="BO31" s="1"/>
      <c r="BP31" s="1"/>
      <c r="BQ31" s="1"/>
      <c r="BR31" s="1" t="s">
        <v>131</v>
      </c>
      <c r="BS31" s="1"/>
      <c r="BT31" s="1"/>
      <c r="BU31" s="1" t="s">
        <v>450</v>
      </c>
      <c r="BV31" s="1" t="s">
        <v>205</v>
      </c>
      <c r="BW31" s="1" t="s">
        <v>124</v>
      </c>
      <c r="BX31" s="1" t="s">
        <v>125</v>
      </c>
      <c r="BY31" s="1" t="s">
        <v>126</v>
      </c>
      <c r="BZ31" s="1">
        <v>120</v>
      </c>
      <c r="CA31" s="1" t="s">
        <v>451</v>
      </c>
      <c r="CB31" s="1" t="s">
        <v>452</v>
      </c>
      <c r="CC31" s="1">
        <v>34733</v>
      </c>
      <c r="CD31" s="1" t="s">
        <v>205</v>
      </c>
      <c r="CE31" s="1" t="s">
        <v>213</v>
      </c>
      <c r="CF31" s="3">
        <v>45383</v>
      </c>
      <c r="CG31" s="1"/>
      <c r="CH31" s="1"/>
      <c r="CI31" s="1" t="str">
        <f>"0"</f>
        <v>0</v>
      </c>
      <c r="CJ31" s="1"/>
      <c r="CK31" s="1"/>
      <c r="CL31" s="1" t="s">
        <v>131</v>
      </c>
      <c r="CM31" s="1"/>
      <c r="CN31" s="1" t="s">
        <v>132</v>
      </c>
      <c r="CO31" s="1" t="s">
        <v>118</v>
      </c>
    </row>
    <row r="32" spans="1:93" hidden="1" x14ac:dyDescent="0.3">
      <c r="A32" s="1">
        <v>181170</v>
      </c>
      <c r="B32" s="1">
        <v>156143</v>
      </c>
      <c r="C32" s="1" t="str">
        <f>"900517450676"</f>
        <v>900517450676</v>
      </c>
      <c r="D32" s="1" t="s">
        <v>453</v>
      </c>
      <c r="E32" s="1" t="s">
        <v>454</v>
      </c>
      <c r="F32" s="1" t="s">
        <v>455</v>
      </c>
      <c r="G32" s="2">
        <v>33010</v>
      </c>
      <c r="H32" s="1"/>
      <c r="I32" s="1" t="s">
        <v>106</v>
      </c>
      <c r="J32" s="1" t="s">
        <v>107</v>
      </c>
      <c r="K32" s="1" t="s">
        <v>108</v>
      </c>
      <c r="L32" s="1"/>
      <c r="M32" s="1"/>
      <c r="N32" s="1"/>
      <c r="O32" s="1"/>
      <c r="P32" s="1" t="s">
        <v>109</v>
      </c>
      <c r="Q32" s="1" t="s">
        <v>136</v>
      </c>
      <c r="R32" s="1"/>
      <c r="S32" s="1"/>
      <c r="T32" s="1"/>
      <c r="U32" s="1"/>
      <c r="V32" s="1"/>
      <c r="W32" s="1" t="str">
        <f>"2016-08-31T00:00:00"</f>
        <v>2016-08-31T00:00:00</v>
      </c>
      <c r="X32" s="1" t="str">
        <f>"87"</f>
        <v>87</v>
      </c>
      <c r="Y32" s="1"/>
      <c r="Z32" s="1" t="s">
        <v>137</v>
      </c>
      <c r="AA32" s="1" t="s">
        <v>111</v>
      </c>
      <c r="AB32" s="1"/>
      <c r="AC32" s="1"/>
      <c r="AD32" s="1"/>
      <c r="AE32" s="1" t="s">
        <v>138</v>
      </c>
      <c r="AF32" s="1" t="s">
        <v>113</v>
      </c>
      <c r="AG32" s="1">
        <v>1.5</v>
      </c>
      <c r="AH32" s="1" t="s">
        <v>114</v>
      </c>
      <c r="AI32" s="1" t="s">
        <v>115</v>
      </c>
      <c r="AJ32" s="1" t="s">
        <v>116</v>
      </c>
      <c r="AK32" s="1"/>
      <c r="AL32" s="1"/>
      <c r="AM32" s="1"/>
      <c r="AN32" s="1" t="s">
        <v>117</v>
      </c>
      <c r="AO32" s="1" t="s">
        <v>118</v>
      </c>
      <c r="AP32" s="1" t="str">
        <f>"8"</f>
        <v>8</v>
      </c>
      <c r="AQ32" s="1" t="str">
        <f>"15"</f>
        <v>15</v>
      </c>
      <c r="AR32" s="1" t="str">
        <f>"8"</f>
        <v>8</v>
      </c>
      <c r="AS32" s="1" t="str">
        <f>"8"</f>
        <v>8</v>
      </c>
      <c r="AT32" s="1" t="str">
        <f>"7"</f>
        <v>7</v>
      </c>
      <c r="AU32" s="1" t="str">
        <f>"kolledzhmaksat_2006@mail.ru"</f>
        <v>kolledzhmaksat_2006@mail.ru</v>
      </c>
      <c r="AV32" s="1" t="str">
        <f>"87713759027"</f>
        <v>87713759027</v>
      </c>
      <c r="AW32" s="1" t="s">
        <v>152</v>
      </c>
      <c r="AX32" s="1" t="s">
        <v>202</v>
      </c>
      <c r="AY32" s="1" t="s">
        <v>203</v>
      </c>
      <c r="AZ32" s="1" t="s">
        <v>170</v>
      </c>
      <c r="BA32" s="1"/>
      <c r="BB32" s="1"/>
      <c r="BC32" s="1"/>
      <c r="BD32" s="1" t="s">
        <v>270</v>
      </c>
      <c r="BE32" s="1" t="s">
        <v>122</v>
      </c>
      <c r="BF32" s="1">
        <v>1.5</v>
      </c>
      <c r="BG32" s="1" t="str">
        <f>"[24]"</f>
        <v>[24]</v>
      </c>
      <c r="BH32" s="1" t="s">
        <v>456</v>
      </c>
      <c r="BI32" s="1">
        <v>1</v>
      </c>
      <c r="BJ32" s="1" t="s">
        <v>119</v>
      </c>
      <c r="BK32" s="1"/>
      <c r="BL32" s="1" t="s">
        <v>164</v>
      </c>
      <c r="BM32" s="1">
        <v>0</v>
      </c>
      <c r="BN32" s="1" t="s">
        <v>154</v>
      </c>
      <c r="BO32" s="1"/>
      <c r="BP32" s="1"/>
      <c r="BQ32" s="1"/>
      <c r="BR32" s="1" t="s">
        <v>131</v>
      </c>
      <c r="BS32" s="1"/>
      <c r="BT32" s="1"/>
      <c r="BU32" s="1" t="s">
        <v>457</v>
      </c>
      <c r="BV32" s="1" t="s">
        <v>458</v>
      </c>
      <c r="BW32" s="1" t="s">
        <v>459</v>
      </c>
      <c r="BX32" s="1" t="s">
        <v>460</v>
      </c>
      <c r="BY32" s="1" t="s">
        <v>461</v>
      </c>
      <c r="BZ32" s="1" t="s">
        <v>462</v>
      </c>
      <c r="CA32" s="1" t="s">
        <v>463</v>
      </c>
      <c r="CB32" s="1" t="s">
        <v>464</v>
      </c>
      <c r="CC32" s="1" t="s">
        <v>465</v>
      </c>
      <c r="CD32" s="1" t="s">
        <v>270</v>
      </c>
      <c r="CE32" s="1" t="s">
        <v>466</v>
      </c>
      <c r="CF32" s="1" t="s">
        <v>146</v>
      </c>
      <c r="CG32" s="1"/>
      <c r="CH32" s="1"/>
      <c r="CI32" s="1" t="str">
        <f>"0"</f>
        <v>0</v>
      </c>
      <c r="CJ32" s="1"/>
      <c r="CK32" s="1"/>
      <c r="CL32" s="1" t="s">
        <v>136</v>
      </c>
      <c r="CM32" s="1"/>
      <c r="CN32" s="1" t="s">
        <v>132</v>
      </c>
      <c r="CO32" s="1" t="s">
        <v>118</v>
      </c>
    </row>
    <row r="33" spans="1:93" hidden="1" x14ac:dyDescent="0.3">
      <c r="A33" s="1">
        <v>181176</v>
      </c>
      <c r="B33" s="1">
        <v>156148</v>
      </c>
      <c r="C33" s="1" t="str">
        <f>"921201450882"</f>
        <v>921201450882</v>
      </c>
      <c r="D33" s="1" t="s">
        <v>467</v>
      </c>
      <c r="E33" s="1" t="s">
        <v>468</v>
      </c>
      <c r="F33" s="1" t="s">
        <v>469</v>
      </c>
      <c r="G33" s="2">
        <v>33939</v>
      </c>
      <c r="H33" s="1"/>
      <c r="I33" s="1" t="s">
        <v>106</v>
      </c>
      <c r="J33" s="1" t="s">
        <v>107</v>
      </c>
      <c r="K33" s="1" t="s">
        <v>198</v>
      </c>
      <c r="L33" s="1"/>
      <c r="M33" s="1"/>
      <c r="N33" s="1"/>
      <c r="O33" s="1"/>
      <c r="P33" s="1" t="s">
        <v>109</v>
      </c>
      <c r="Q33" s="1" t="s">
        <v>136</v>
      </c>
      <c r="R33" s="1"/>
      <c r="S33" s="1"/>
      <c r="T33" s="1"/>
      <c r="U33" s="1"/>
      <c r="V33" s="1"/>
      <c r="W33" s="1" t="str">
        <f>"2018-08-17T00:00:00"</f>
        <v>2018-08-17T00:00:00</v>
      </c>
      <c r="X33" s="1" t="str">
        <f>"193"</f>
        <v>193</v>
      </c>
      <c r="Y33" s="1"/>
      <c r="Z33" s="1" t="s">
        <v>312</v>
      </c>
      <c r="AA33" s="1" t="s">
        <v>111</v>
      </c>
      <c r="AB33" s="1"/>
      <c r="AC33" s="1"/>
      <c r="AD33" s="1"/>
      <c r="AE33" s="1" t="s">
        <v>138</v>
      </c>
      <c r="AF33" s="1" t="s">
        <v>113</v>
      </c>
      <c r="AG33" s="1">
        <v>1.5</v>
      </c>
      <c r="AH33" s="1" t="s">
        <v>114</v>
      </c>
      <c r="AI33" s="1" t="s">
        <v>218</v>
      </c>
      <c r="AJ33" s="1" t="s">
        <v>219</v>
      </c>
      <c r="AK33" s="1"/>
      <c r="AL33" s="1"/>
      <c r="AM33" s="1"/>
      <c r="AN33" s="1" t="s">
        <v>117</v>
      </c>
      <c r="AO33" s="1" t="s">
        <v>118</v>
      </c>
      <c r="AP33" s="1" t="str">
        <f>"4"</f>
        <v>4</v>
      </c>
      <c r="AQ33" s="1" t="str">
        <f>"9"</f>
        <v>9</v>
      </c>
      <c r="AR33" s="1" t="str">
        <f>"9"</f>
        <v>9</v>
      </c>
      <c r="AS33" s="1" t="str">
        <f>"9"</f>
        <v>9</v>
      </c>
      <c r="AT33" s="1" t="str">
        <f>"5"</f>
        <v>5</v>
      </c>
      <c r="AU33" s="1" t="str">
        <f>"katyushka01.12@mail.ru"</f>
        <v>katyushka01.12@mail.ru</v>
      </c>
      <c r="AV33" s="1" t="str">
        <f>"87018473207"</f>
        <v>87018473207</v>
      </c>
      <c r="AW33" s="1" t="s">
        <v>152</v>
      </c>
      <c r="AX33" s="1" t="s">
        <v>153</v>
      </c>
      <c r="AY33" s="1"/>
      <c r="AZ33" s="1" t="s">
        <v>204</v>
      </c>
      <c r="BA33" s="1"/>
      <c r="BB33" s="1"/>
      <c r="BC33" s="1"/>
      <c r="BD33" s="1" t="s">
        <v>184</v>
      </c>
      <c r="BE33" s="1" t="s">
        <v>122</v>
      </c>
      <c r="BF33" s="1">
        <v>1.5</v>
      </c>
      <c r="BG33" s="1" t="str">
        <f>"[24]"</f>
        <v>[24]</v>
      </c>
      <c r="BH33" s="1" t="s">
        <v>118</v>
      </c>
      <c r="BI33" s="1">
        <v>0</v>
      </c>
      <c r="BJ33" s="1"/>
      <c r="BK33" s="1"/>
      <c r="BL33" s="1"/>
      <c r="BM33" s="1"/>
      <c r="BN33" s="1" t="s">
        <v>154</v>
      </c>
      <c r="BO33" s="1"/>
      <c r="BP33" s="1"/>
      <c r="BQ33" s="1"/>
      <c r="BR33" s="1" t="s">
        <v>131</v>
      </c>
      <c r="BS33" s="1"/>
      <c r="BT33" s="1"/>
      <c r="BU33" s="1" t="s">
        <v>123</v>
      </c>
      <c r="BV33" s="1" t="s">
        <v>184</v>
      </c>
      <c r="BW33" s="1" t="s">
        <v>124</v>
      </c>
      <c r="BX33" s="1" t="s">
        <v>125</v>
      </c>
      <c r="BY33" s="1" t="s">
        <v>341</v>
      </c>
      <c r="BZ33" s="1">
        <v>120</v>
      </c>
      <c r="CA33" s="1" t="s">
        <v>470</v>
      </c>
      <c r="CB33" s="1" t="s">
        <v>471</v>
      </c>
      <c r="CC33" s="1">
        <v>371</v>
      </c>
      <c r="CD33" s="1" t="s">
        <v>184</v>
      </c>
      <c r="CE33" s="1" t="s">
        <v>472</v>
      </c>
      <c r="CF33" s="1" t="s">
        <v>146</v>
      </c>
      <c r="CG33" s="1"/>
      <c r="CH33" s="1"/>
      <c r="CI33" s="1" t="str">
        <f>"0"</f>
        <v>0</v>
      </c>
      <c r="CJ33" s="1"/>
      <c r="CK33" s="1"/>
      <c r="CL33" s="1" t="s">
        <v>131</v>
      </c>
      <c r="CM33" s="1"/>
      <c r="CN33" s="1" t="s">
        <v>193</v>
      </c>
      <c r="CO33" s="1" t="s">
        <v>473</v>
      </c>
    </row>
    <row r="34" spans="1:93" hidden="1" x14ac:dyDescent="0.3">
      <c r="A34" s="1">
        <v>181207</v>
      </c>
      <c r="B34" s="1">
        <v>156169</v>
      </c>
      <c r="C34" s="1" t="str">
        <f>"650601401908"</f>
        <v>650601401908</v>
      </c>
      <c r="D34" s="1" t="s">
        <v>474</v>
      </c>
      <c r="E34" s="1" t="s">
        <v>252</v>
      </c>
      <c r="F34" s="1" t="s">
        <v>475</v>
      </c>
      <c r="G34" s="2">
        <v>23894</v>
      </c>
      <c r="H34" s="1"/>
      <c r="I34" s="1" t="s">
        <v>106</v>
      </c>
      <c r="J34" s="1" t="s">
        <v>107</v>
      </c>
      <c r="K34" s="1" t="s">
        <v>362</v>
      </c>
      <c r="L34" s="1"/>
      <c r="M34" s="1"/>
      <c r="N34" s="1"/>
      <c r="O34" s="1"/>
      <c r="P34" s="1" t="s">
        <v>109</v>
      </c>
      <c r="Q34" s="1" t="s">
        <v>136</v>
      </c>
      <c r="R34" s="1"/>
      <c r="S34" s="1"/>
      <c r="T34" s="1"/>
      <c r="U34" s="1"/>
      <c r="V34" s="1"/>
      <c r="W34" s="1" t="str">
        <f>"2007-08-27T00:00:00"</f>
        <v>2007-08-27T00:00:00</v>
      </c>
      <c r="X34" s="1" t="str">
        <f>"356"</f>
        <v>356</v>
      </c>
      <c r="Y34" s="1"/>
      <c r="Z34" s="1" t="s">
        <v>476</v>
      </c>
      <c r="AA34" s="1" t="s">
        <v>111</v>
      </c>
      <c r="AB34" s="1"/>
      <c r="AC34" s="1"/>
      <c r="AD34" s="1"/>
      <c r="AE34" s="1" t="s">
        <v>138</v>
      </c>
      <c r="AF34" s="1" t="s">
        <v>113</v>
      </c>
      <c r="AG34" s="1">
        <v>1.5</v>
      </c>
      <c r="AH34" s="1" t="s">
        <v>114</v>
      </c>
      <c r="AI34" s="1" t="s">
        <v>115</v>
      </c>
      <c r="AJ34" s="1" t="s">
        <v>116</v>
      </c>
      <c r="AK34" s="1"/>
      <c r="AL34" s="1"/>
      <c r="AM34" s="1"/>
      <c r="AN34" s="1" t="s">
        <v>117</v>
      </c>
      <c r="AO34" s="1" t="s">
        <v>118</v>
      </c>
      <c r="AP34" s="1" t="str">
        <f>"20"</f>
        <v>20</v>
      </c>
      <c r="AQ34" s="1" t="str">
        <f>"36"</f>
        <v>36</v>
      </c>
      <c r="AR34" s="1" t="str">
        <f>"33"</f>
        <v>33</v>
      </c>
      <c r="AS34" s="1" t="str">
        <f>"33"</f>
        <v>33</v>
      </c>
      <c r="AT34" s="1" t="str">
        <f>"16"</f>
        <v>16</v>
      </c>
      <c r="AU34" s="1" t="str">
        <f>"chernova0106@istl.ru"</f>
        <v>chernova0106@istl.ru</v>
      </c>
      <c r="AV34" s="1" t="str">
        <f>"87779625855"</f>
        <v>87779625855</v>
      </c>
      <c r="AW34" s="1" t="s">
        <v>220</v>
      </c>
      <c r="AX34" s="1" t="s">
        <v>153</v>
      </c>
      <c r="AY34" s="1" t="s">
        <v>203</v>
      </c>
      <c r="AZ34" s="1" t="s">
        <v>204</v>
      </c>
      <c r="BA34" s="1"/>
      <c r="BB34" s="1"/>
      <c r="BC34" s="1"/>
      <c r="BD34" s="1" t="s">
        <v>327</v>
      </c>
      <c r="BE34" s="1" t="s">
        <v>122</v>
      </c>
      <c r="BF34" s="1">
        <v>1.5</v>
      </c>
      <c r="BG34" s="1" t="str">
        <f>"[24]"</f>
        <v>[24]</v>
      </c>
      <c r="BH34" s="1" t="s">
        <v>477</v>
      </c>
      <c r="BI34" s="1">
        <v>0.7</v>
      </c>
      <c r="BJ34" s="1" t="s">
        <v>119</v>
      </c>
      <c r="BK34" s="1"/>
      <c r="BL34" s="1" t="s">
        <v>164</v>
      </c>
      <c r="BM34" s="1">
        <v>0</v>
      </c>
      <c r="BN34" s="1" t="s">
        <v>154</v>
      </c>
      <c r="BO34" s="1"/>
      <c r="BP34" s="1"/>
      <c r="BQ34" s="1"/>
      <c r="BR34" s="1" t="s">
        <v>131</v>
      </c>
      <c r="BS34" s="1"/>
      <c r="BT34" s="1"/>
      <c r="BU34" s="1" t="s">
        <v>478</v>
      </c>
      <c r="BV34" s="1" t="s">
        <v>479</v>
      </c>
      <c r="BW34" s="1" t="s">
        <v>480</v>
      </c>
      <c r="BX34" s="1" t="s">
        <v>317</v>
      </c>
      <c r="BY34" s="1" t="s">
        <v>318</v>
      </c>
      <c r="BZ34" s="1" t="s">
        <v>481</v>
      </c>
      <c r="CA34" s="1" t="s">
        <v>482</v>
      </c>
      <c r="CB34" s="1" t="s">
        <v>483</v>
      </c>
      <c r="CC34" s="1" t="s">
        <v>484</v>
      </c>
      <c r="CD34" s="1" t="s">
        <v>327</v>
      </c>
      <c r="CE34" s="1" t="s">
        <v>485</v>
      </c>
      <c r="CF34" s="1" t="s">
        <v>146</v>
      </c>
      <c r="CG34" s="1"/>
      <c r="CH34" s="1"/>
      <c r="CI34" s="1" t="str">
        <f>"0"</f>
        <v>0</v>
      </c>
      <c r="CJ34" s="1"/>
      <c r="CK34" s="1"/>
      <c r="CL34" s="1" t="s">
        <v>131</v>
      </c>
      <c r="CM34" s="1"/>
      <c r="CN34" s="1" t="s">
        <v>132</v>
      </c>
      <c r="CO34" s="1" t="s">
        <v>473</v>
      </c>
    </row>
    <row r="35" spans="1:93" x14ac:dyDescent="0.3">
      <c r="A35" s="1">
        <v>181228</v>
      </c>
      <c r="B35" s="1">
        <v>156185</v>
      </c>
      <c r="C35" s="1" t="str">
        <f>"851002450141"</f>
        <v>851002450141</v>
      </c>
      <c r="D35" s="1" t="s">
        <v>486</v>
      </c>
      <c r="E35" s="1" t="s">
        <v>487</v>
      </c>
      <c r="F35" s="1" t="s">
        <v>347</v>
      </c>
      <c r="G35" s="2">
        <v>31322</v>
      </c>
      <c r="H35" s="1"/>
      <c r="I35" s="1" t="s">
        <v>106</v>
      </c>
      <c r="J35" s="1" t="s">
        <v>107</v>
      </c>
      <c r="K35" s="1" t="s">
        <v>198</v>
      </c>
      <c r="L35" s="1"/>
      <c r="M35" s="1"/>
      <c r="N35" s="1"/>
      <c r="O35" s="1"/>
      <c r="P35" s="1" t="s">
        <v>109</v>
      </c>
      <c r="Q35" s="1" t="s">
        <v>136</v>
      </c>
      <c r="R35" s="1"/>
      <c r="S35" s="1"/>
      <c r="T35" s="1"/>
      <c r="U35" s="1"/>
      <c r="V35" s="1"/>
      <c r="W35" s="1" t="str">
        <f>"2013-09-02T00:00:00"</f>
        <v>2013-09-02T00:00:00</v>
      </c>
      <c r="X35" s="1" t="str">
        <f>"133"</f>
        <v>133</v>
      </c>
      <c r="Y35" s="1"/>
      <c r="Z35" s="1" t="s">
        <v>488</v>
      </c>
      <c r="AA35" s="1" t="s">
        <v>111</v>
      </c>
      <c r="AB35" s="1"/>
      <c r="AC35" s="1"/>
      <c r="AD35" s="1"/>
      <c r="AE35" s="1" t="s">
        <v>138</v>
      </c>
      <c r="AF35" s="1" t="s">
        <v>440</v>
      </c>
      <c r="AG35" s="1">
        <v>1.5</v>
      </c>
      <c r="AH35" s="1" t="s">
        <v>114</v>
      </c>
      <c r="AI35" s="1" t="s">
        <v>115</v>
      </c>
      <c r="AJ35" s="1" t="s">
        <v>441</v>
      </c>
      <c r="AK35" s="1"/>
      <c r="AL35" s="1"/>
      <c r="AM35" s="1"/>
      <c r="AN35" s="1" t="s">
        <v>442</v>
      </c>
      <c r="AO35" s="1"/>
      <c r="AP35" s="1" t="str">
        <f>"0"</f>
        <v>0</v>
      </c>
      <c r="AQ35" s="1" t="str">
        <f>"10"</f>
        <v>10</v>
      </c>
      <c r="AR35" s="1"/>
      <c r="AS35" s="1" t="str">
        <f>"0"</f>
        <v>0</v>
      </c>
      <c r="AT35" s="1" t="str">
        <f>"10"</f>
        <v>10</v>
      </c>
      <c r="AU35" s="1"/>
      <c r="AV35" s="1"/>
      <c r="AW35" s="1"/>
      <c r="AX35" s="1"/>
      <c r="AY35" s="1"/>
      <c r="AZ35" s="1" t="s">
        <v>130</v>
      </c>
      <c r="BA35" s="1"/>
      <c r="BB35" s="1"/>
      <c r="BC35" s="1"/>
      <c r="BD35" s="1"/>
      <c r="BE35" s="1"/>
      <c r="BF35" s="1"/>
      <c r="BG35" s="1"/>
      <c r="BH35" s="1" t="s">
        <v>118</v>
      </c>
      <c r="BI35" s="1">
        <v>0</v>
      </c>
      <c r="BJ35" s="1"/>
      <c r="BK35" s="1"/>
      <c r="BL35" s="1"/>
      <c r="BM35" s="1"/>
      <c r="BN35" s="1"/>
      <c r="BO35" s="1"/>
      <c r="BP35" s="1"/>
      <c r="BQ35" s="1"/>
      <c r="BR35" s="1"/>
      <c r="BS35" s="1"/>
      <c r="BT35" s="1"/>
      <c r="BU35" s="1"/>
      <c r="BV35" s="1"/>
      <c r="BW35" s="1"/>
      <c r="BX35" s="1"/>
      <c r="BY35" s="1"/>
      <c r="BZ35" s="1"/>
      <c r="CA35" s="1"/>
      <c r="CB35" s="1"/>
      <c r="CC35" s="1"/>
      <c r="CD35" s="1"/>
      <c r="CE35" s="1" t="s">
        <v>130</v>
      </c>
      <c r="CF35" s="1"/>
      <c r="CG35" s="1"/>
      <c r="CH35" s="1"/>
      <c r="CI35" s="1"/>
      <c r="CJ35" s="1"/>
      <c r="CK35" s="1"/>
      <c r="CL35" s="1"/>
      <c r="CM35" s="1"/>
      <c r="CN35" s="1"/>
      <c r="CO35" s="1"/>
    </row>
    <row r="36" spans="1:93" x14ac:dyDescent="0.3">
      <c r="A36" s="1">
        <v>181308</v>
      </c>
      <c r="B36" s="1">
        <v>156246</v>
      </c>
      <c r="C36" s="1" t="str">
        <f>"610102450430"</f>
        <v>610102450430</v>
      </c>
      <c r="D36" s="1" t="s">
        <v>489</v>
      </c>
      <c r="E36" s="1" t="s">
        <v>490</v>
      </c>
      <c r="F36" s="1" t="s">
        <v>491</v>
      </c>
      <c r="G36" s="2">
        <v>22283</v>
      </c>
      <c r="H36" s="1"/>
      <c r="I36" s="1" t="s">
        <v>106</v>
      </c>
      <c r="J36" s="1" t="s">
        <v>107</v>
      </c>
      <c r="K36" s="1" t="s">
        <v>492</v>
      </c>
      <c r="L36" s="1"/>
      <c r="M36" s="1"/>
      <c r="N36" s="1"/>
      <c r="O36" s="1"/>
      <c r="P36" s="1" t="s">
        <v>109</v>
      </c>
      <c r="Q36" s="1"/>
      <c r="R36" s="1"/>
      <c r="S36" s="1"/>
      <c r="T36" s="1"/>
      <c r="U36" s="1"/>
      <c r="V36" s="1"/>
      <c r="W36" s="1" t="str">
        <f>"2015-09-07T00:00:00"</f>
        <v>2015-09-07T00:00:00</v>
      </c>
      <c r="X36" s="1" t="str">
        <f>"140"</f>
        <v>140</v>
      </c>
      <c r="Y36" s="1"/>
      <c r="Z36" s="1" t="s">
        <v>110</v>
      </c>
      <c r="AA36" s="1" t="s">
        <v>111</v>
      </c>
      <c r="AB36" s="1"/>
      <c r="AC36" s="1"/>
      <c r="AD36" s="1"/>
      <c r="AE36" s="1" t="s">
        <v>138</v>
      </c>
      <c r="AF36" s="1" t="s">
        <v>440</v>
      </c>
      <c r="AG36" s="1">
        <v>1.5</v>
      </c>
      <c r="AH36" s="1" t="s">
        <v>114</v>
      </c>
      <c r="AI36" s="1" t="s">
        <v>115</v>
      </c>
      <c r="AJ36" s="1" t="s">
        <v>446</v>
      </c>
      <c r="AK36" s="1"/>
      <c r="AL36" s="1"/>
      <c r="AM36" s="1"/>
      <c r="AN36" s="1" t="s">
        <v>442</v>
      </c>
      <c r="AO36" s="1"/>
      <c r="AP36" s="1" t="str">
        <f>"23"</f>
        <v>23</v>
      </c>
      <c r="AQ36" s="1" t="str">
        <f>"31"</f>
        <v>31</v>
      </c>
      <c r="AR36" s="1"/>
      <c r="AS36" s="1" t="str">
        <f>"0"</f>
        <v>0</v>
      </c>
      <c r="AT36" s="1" t="str">
        <f>"8"</f>
        <v>8</v>
      </c>
      <c r="AU36" s="1"/>
      <c r="AV36" s="1"/>
      <c r="AW36" s="1"/>
      <c r="AX36" s="1"/>
      <c r="AY36" s="1"/>
      <c r="AZ36" s="1" t="s">
        <v>130</v>
      </c>
      <c r="BA36" s="1"/>
      <c r="BB36" s="1"/>
      <c r="BC36" s="1"/>
      <c r="BD36" s="1"/>
      <c r="BE36" s="1"/>
      <c r="BF36" s="1"/>
      <c r="BG36" s="1"/>
      <c r="BH36" s="1" t="s">
        <v>118</v>
      </c>
      <c r="BI36" s="1">
        <v>0</v>
      </c>
      <c r="BJ36" s="1"/>
      <c r="BK36" s="1"/>
      <c r="BL36" s="1"/>
      <c r="BM36" s="1"/>
      <c r="BN36" s="1"/>
      <c r="BO36" s="1"/>
      <c r="BP36" s="1"/>
      <c r="BQ36" s="1"/>
      <c r="BR36" s="1"/>
      <c r="BS36" s="1"/>
      <c r="BT36" s="1"/>
      <c r="BU36" s="1"/>
      <c r="BV36" s="1"/>
      <c r="BW36" s="1"/>
      <c r="BX36" s="1"/>
      <c r="BY36" s="1"/>
      <c r="BZ36" s="1"/>
      <c r="CA36" s="1"/>
      <c r="CB36" s="1"/>
      <c r="CC36" s="1"/>
      <c r="CD36" s="1"/>
      <c r="CE36" s="1" t="s">
        <v>130</v>
      </c>
      <c r="CF36" s="1"/>
      <c r="CG36" s="1"/>
      <c r="CH36" s="1"/>
      <c r="CI36" s="1"/>
      <c r="CJ36" s="1"/>
      <c r="CK36" s="1"/>
      <c r="CL36" s="1"/>
      <c r="CM36" s="1"/>
      <c r="CN36" s="1"/>
      <c r="CO36" s="1"/>
    </row>
    <row r="37" spans="1:93" hidden="1" x14ac:dyDescent="0.3">
      <c r="A37" s="1">
        <v>1723083</v>
      </c>
      <c r="B37" s="1">
        <v>1291913</v>
      </c>
      <c r="C37" s="1" t="str">
        <f>"940405351428"</f>
        <v>940405351428</v>
      </c>
      <c r="D37" s="1" t="s">
        <v>493</v>
      </c>
      <c r="E37" s="1" t="s">
        <v>494</v>
      </c>
      <c r="F37" s="1" t="s">
        <v>495</v>
      </c>
      <c r="G37" s="2">
        <v>34429</v>
      </c>
      <c r="H37" s="1"/>
      <c r="I37" s="1" t="s">
        <v>496</v>
      </c>
      <c r="J37" s="1" t="s">
        <v>107</v>
      </c>
      <c r="K37" s="1" t="s">
        <v>108</v>
      </c>
      <c r="L37" s="1"/>
      <c r="M37" s="1"/>
      <c r="N37" s="1"/>
      <c r="O37" s="1"/>
      <c r="P37" s="1" t="s">
        <v>497</v>
      </c>
      <c r="Q37" s="1" t="s">
        <v>136</v>
      </c>
      <c r="R37" s="1"/>
      <c r="S37" s="1"/>
      <c r="T37" s="1"/>
      <c r="U37" s="1"/>
      <c r="V37" s="1"/>
      <c r="W37" s="1" t="str">
        <f>"2019-09-02T00:00:00"</f>
        <v>2019-09-02T00:00:00</v>
      </c>
      <c r="X37" s="1" t="str">
        <f>"208"</f>
        <v>208</v>
      </c>
      <c r="Y37" s="1"/>
      <c r="Z37" s="1" t="s">
        <v>498</v>
      </c>
      <c r="AA37" s="1" t="s">
        <v>111</v>
      </c>
      <c r="AB37" s="1"/>
      <c r="AC37" s="1"/>
      <c r="AD37" s="1"/>
      <c r="AE37" s="1" t="s">
        <v>138</v>
      </c>
      <c r="AF37" s="1" t="s">
        <v>499</v>
      </c>
      <c r="AG37" s="1">
        <v>1</v>
      </c>
      <c r="AH37" s="1" t="s">
        <v>114</v>
      </c>
      <c r="AI37" s="1" t="s">
        <v>115</v>
      </c>
      <c r="AJ37" s="1" t="s">
        <v>116</v>
      </c>
      <c r="AK37" s="1"/>
      <c r="AL37" s="1"/>
      <c r="AM37" s="1"/>
      <c r="AN37" s="1" t="s">
        <v>117</v>
      </c>
      <c r="AO37" s="1" t="s">
        <v>118</v>
      </c>
      <c r="AP37" s="1" t="str">
        <f>"2"</f>
        <v>2</v>
      </c>
      <c r="AQ37" s="1" t="str">
        <f>"6"</f>
        <v>6</v>
      </c>
      <c r="AR37" s="1" t="str">
        <f>"4"</f>
        <v>4</v>
      </c>
      <c r="AS37" s="1" t="str">
        <f>"4"</f>
        <v>4</v>
      </c>
      <c r="AT37" s="1" t="str">
        <f>"4"</f>
        <v>4</v>
      </c>
      <c r="AU37" s="1" t="str">
        <f>"nursultan.1994.kz.step@gmail.ru"</f>
        <v>nursultan.1994.kz.step@gmail.ru</v>
      </c>
      <c r="AV37" s="1" t="str">
        <f>"87772052027"</f>
        <v>87772052027</v>
      </c>
      <c r="AW37" s="1" t="s">
        <v>119</v>
      </c>
      <c r="AX37" s="1"/>
      <c r="AY37" s="1"/>
      <c r="AZ37" s="1" t="s">
        <v>120</v>
      </c>
      <c r="BA37" s="1"/>
      <c r="BB37" s="1"/>
      <c r="BC37" s="1"/>
      <c r="BD37" s="1" t="s">
        <v>500</v>
      </c>
      <c r="BE37" s="1" t="s">
        <v>122</v>
      </c>
      <c r="BF37" s="1"/>
      <c r="BG37" s="1"/>
      <c r="BH37" s="1" t="s">
        <v>113</v>
      </c>
      <c r="BI37" s="1">
        <v>0.3</v>
      </c>
      <c r="BJ37" s="1" t="s">
        <v>119</v>
      </c>
      <c r="BK37" s="1"/>
      <c r="BL37" s="1" t="s">
        <v>501</v>
      </c>
      <c r="BM37" s="1">
        <v>0.3</v>
      </c>
      <c r="BN37" s="1" t="s">
        <v>142</v>
      </c>
      <c r="BO37" s="1"/>
      <c r="BP37" s="1"/>
      <c r="BQ37" s="1"/>
      <c r="BR37" s="1" t="s">
        <v>131</v>
      </c>
      <c r="BS37" s="1" t="s">
        <v>502</v>
      </c>
      <c r="BT37" s="1"/>
      <c r="BU37" s="1" t="s">
        <v>503</v>
      </c>
      <c r="BV37" s="1" t="s">
        <v>504</v>
      </c>
      <c r="BW37" s="1" t="s">
        <v>505</v>
      </c>
      <c r="BX37" s="1" t="s">
        <v>419</v>
      </c>
      <c r="BY37" s="1" t="s">
        <v>506</v>
      </c>
      <c r="BZ37" s="1" t="s">
        <v>507</v>
      </c>
      <c r="CA37" s="1" t="s">
        <v>508</v>
      </c>
      <c r="CB37" s="1" t="s">
        <v>509</v>
      </c>
      <c r="CC37" s="1" t="s">
        <v>510</v>
      </c>
      <c r="CD37" s="1" t="s">
        <v>501</v>
      </c>
      <c r="CE37" s="1" t="s">
        <v>511</v>
      </c>
      <c r="CF37" s="1" t="s">
        <v>146</v>
      </c>
      <c r="CG37" s="1"/>
      <c r="CH37" s="1"/>
      <c r="CI37" s="1" t="str">
        <f>"0"</f>
        <v>0</v>
      </c>
      <c r="CJ37" s="1"/>
      <c r="CK37" s="1"/>
      <c r="CL37" s="1" t="s">
        <v>136</v>
      </c>
      <c r="CM37" s="1"/>
      <c r="CN37" s="1" t="s">
        <v>132</v>
      </c>
      <c r="CO37" s="1" t="s">
        <v>118</v>
      </c>
    </row>
    <row r="38" spans="1:93" hidden="1" x14ac:dyDescent="0.3">
      <c r="A38" s="1">
        <v>1723276</v>
      </c>
      <c r="B38" s="1">
        <v>1292005</v>
      </c>
      <c r="C38" s="1" t="str">
        <f>"010427650811"</f>
        <v>010427650811</v>
      </c>
      <c r="D38" s="1" t="s">
        <v>512</v>
      </c>
      <c r="E38" s="1" t="s">
        <v>513</v>
      </c>
      <c r="F38" s="1" t="s">
        <v>514</v>
      </c>
      <c r="G38" s="2">
        <v>37008</v>
      </c>
      <c r="H38" s="1"/>
      <c r="I38" s="1" t="s">
        <v>106</v>
      </c>
      <c r="J38" s="1" t="s">
        <v>107</v>
      </c>
      <c r="K38" s="1" t="s">
        <v>108</v>
      </c>
      <c r="L38" s="1"/>
      <c r="M38" s="1"/>
      <c r="N38" s="1"/>
      <c r="O38" s="1"/>
      <c r="P38" s="1" t="s">
        <v>109</v>
      </c>
      <c r="Q38" s="1" t="s">
        <v>136</v>
      </c>
      <c r="R38" s="1"/>
      <c r="S38" s="1"/>
      <c r="T38" s="1"/>
      <c r="U38" s="1"/>
      <c r="V38" s="1"/>
      <c r="W38" s="1" t="str">
        <f>"2023-07-10T00:00:00"</f>
        <v>2023-07-10T00:00:00</v>
      </c>
      <c r="X38" s="1" t="str">
        <f>"3"</f>
        <v>3</v>
      </c>
      <c r="Y38" s="1"/>
      <c r="Z38" s="1" t="s">
        <v>366</v>
      </c>
      <c r="AA38" s="1" t="s">
        <v>111</v>
      </c>
      <c r="AB38" s="1"/>
      <c r="AC38" s="1"/>
      <c r="AD38" s="1"/>
      <c r="AE38" s="1" t="s">
        <v>112</v>
      </c>
      <c r="AF38" s="1" t="s">
        <v>113</v>
      </c>
      <c r="AG38" s="1">
        <v>0</v>
      </c>
      <c r="AH38" s="1" t="s">
        <v>114</v>
      </c>
      <c r="AI38" s="1" t="s">
        <v>115</v>
      </c>
      <c r="AJ38" s="1" t="s">
        <v>201</v>
      </c>
      <c r="AK38" s="1"/>
      <c r="AL38" s="1"/>
      <c r="AM38" s="1"/>
      <c r="AN38" s="1" t="s">
        <v>117</v>
      </c>
      <c r="AO38" s="1" t="s">
        <v>118</v>
      </c>
      <c r="AP38" s="1" t="str">
        <f>"8"</f>
        <v>8</v>
      </c>
      <c r="AQ38" s="1" t="str">
        <f>"8"</f>
        <v>8</v>
      </c>
      <c r="AR38" s="1" t="str">
        <f>"0"</f>
        <v>0</v>
      </c>
      <c r="AS38" s="1" t="str">
        <f>"0"</f>
        <v>0</v>
      </c>
      <c r="AT38" s="1" t="str">
        <f>"0"</f>
        <v>0</v>
      </c>
      <c r="AU38" s="1" t="str">
        <f>"kayratova.1994@mail.ru"</f>
        <v>kayratova.1994@mail.ru</v>
      </c>
      <c r="AV38" s="1" t="str">
        <f>"87762239173"</f>
        <v>87762239173</v>
      </c>
      <c r="AW38" s="1" t="s">
        <v>119</v>
      </c>
      <c r="AX38" s="1"/>
      <c r="AY38" s="1"/>
      <c r="AZ38" s="1" t="s">
        <v>183</v>
      </c>
      <c r="BA38" s="1"/>
      <c r="BB38" s="1"/>
      <c r="BC38" s="1"/>
      <c r="BD38" s="1" t="s">
        <v>515</v>
      </c>
      <c r="BE38" s="1" t="s">
        <v>206</v>
      </c>
      <c r="BF38" s="1">
        <v>0</v>
      </c>
      <c r="BG38" s="1" t="str">
        <f>"[0]"</f>
        <v>[0]</v>
      </c>
      <c r="BH38" s="1" t="s">
        <v>118</v>
      </c>
      <c r="BI38" s="1">
        <v>0</v>
      </c>
      <c r="BJ38" s="1"/>
      <c r="BK38" s="1"/>
      <c r="BL38" s="1"/>
      <c r="BM38" s="1"/>
      <c r="BN38" s="1"/>
      <c r="BO38" s="1"/>
      <c r="BP38" s="1"/>
      <c r="BQ38" s="1"/>
      <c r="BR38" s="1"/>
      <c r="BS38" s="1"/>
      <c r="BT38" s="1"/>
      <c r="BU38" s="1" t="s">
        <v>123</v>
      </c>
      <c r="BV38" s="1" t="s">
        <v>515</v>
      </c>
      <c r="BW38" s="1" t="s">
        <v>516</v>
      </c>
      <c r="BX38" s="1" t="s">
        <v>517</v>
      </c>
      <c r="BY38" s="1" t="s">
        <v>341</v>
      </c>
      <c r="BZ38" s="1">
        <v>80</v>
      </c>
      <c r="CA38" s="1" t="s">
        <v>518</v>
      </c>
      <c r="CB38" s="1" t="s">
        <v>519</v>
      </c>
      <c r="CC38" s="1">
        <v>372235</v>
      </c>
      <c r="CD38" s="1" t="s">
        <v>164</v>
      </c>
      <c r="CE38" s="1" t="s">
        <v>520</v>
      </c>
      <c r="CF38" s="1"/>
      <c r="CG38" s="1"/>
      <c r="CH38" s="1"/>
      <c r="CI38" s="1" t="str">
        <f>"0"</f>
        <v>0</v>
      </c>
      <c r="CJ38" s="1"/>
      <c r="CK38" s="1"/>
      <c r="CL38" s="1" t="s">
        <v>136</v>
      </c>
      <c r="CM38" s="1"/>
      <c r="CN38" s="1" t="s">
        <v>132</v>
      </c>
      <c r="CO38" s="1" t="s">
        <v>118</v>
      </c>
    </row>
    <row r="39" spans="1:93" hidden="1" x14ac:dyDescent="0.3">
      <c r="A39" s="1">
        <v>1729023</v>
      </c>
      <c r="B39" s="1">
        <v>141714</v>
      </c>
      <c r="C39" s="1" t="str">
        <f>"881122451485"</f>
        <v>881122451485</v>
      </c>
      <c r="D39" s="1" t="s">
        <v>521</v>
      </c>
      <c r="E39" s="1" t="s">
        <v>439</v>
      </c>
      <c r="F39" s="1" t="s">
        <v>414</v>
      </c>
      <c r="G39" s="2">
        <v>32469</v>
      </c>
      <c r="H39" s="1"/>
      <c r="I39" s="1" t="s">
        <v>106</v>
      </c>
      <c r="J39" s="1" t="s">
        <v>107</v>
      </c>
      <c r="K39" s="1" t="s">
        <v>198</v>
      </c>
      <c r="L39" s="1"/>
      <c r="M39" s="1"/>
      <c r="N39" s="1"/>
      <c r="O39" s="1"/>
      <c r="P39" s="1" t="s">
        <v>109</v>
      </c>
      <c r="Q39" s="1" t="s">
        <v>136</v>
      </c>
      <c r="R39" s="1"/>
      <c r="S39" s="1"/>
      <c r="T39" s="1"/>
      <c r="U39" s="1"/>
      <c r="V39" s="1"/>
      <c r="W39" s="1" t="str">
        <f>"2018-08-13T00:00:00"</f>
        <v>2018-08-13T00:00:00</v>
      </c>
      <c r="X39" s="1" t="str">
        <f>"189"</f>
        <v>189</v>
      </c>
      <c r="Y39" s="1"/>
      <c r="Z39" s="1" t="s">
        <v>366</v>
      </c>
      <c r="AA39" s="1" t="s">
        <v>111</v>
      </c>
      <c r="AB39" s="1"/>
      <c r="AC39" s="1"/>
      <c r="AD39" s="1"/>
      <c r="AE39" s="1" t="s">
        <v>138</v>
      </c>
      <c r="AF39" s="1" t="s">
        <v>113</v>
      </c>
      <c r="AG39" s="1">
        <v>1.5</v>
      </c>
      <c r="AH39" s="1" t="s">
        <v>114</v>
      </c>
      <c r="AI39" s="1" t="s">
        <v>115</v>
      </c>
      <c r="AJ39" s="1" t="s">
        <v>116</v>
      </c>
      <c r="AK39" s="1"/>
      <c r="AL39" s="1"/>
      <c r="AM39" s="1"/>
      <c r="AN39" s="1" t="s">
        <v>117</v>
      </c>
      <c r="AO39" s="1" t="s">
        <v>118</v>
      </c>
      <c r="AP39" s="1" t="str">
        <f>"2"</f>
        <v>2</v>
      </c>
      <c r="AQ39" s="1" t="str">
        <f>"7"</f>
        <v>7</v>
      </c>
      <c r="AR39" s="1" t="str">
        <f>"7"</f>
        <v>7</v>
      </c>
      <c r="AS39" s="1" t="str">
        <f>"7"</f>
        <v>7</v>
      </c>
      <c r="AT39" s="1" t="str">
        <f>"5"</f>
        <v>5</v>
      </c>
      <c r="AU39" s="1" t="str">
        <f>"oksano4ka_v88@mail.ru"</f>
        <v>oksano4ka_v88@mail.ru</v>
      </c>
      <c r="AV39" s="1" t="str">
        <f>"87024418851"</f>
        <v>87024418851</v>
      </c>
      <c r="AW39" s="1" t="s">
        <v>152</v>
      </c>
      <c r="AX39" s="1" t="s">
        <v>389</v>
      </c>
      <c r="AY39" s="1"/>
      <c r="AZ39" s="1" t="s">
        <v>204</v>
      </c>
      <c r="BA39" s="1"/>
      <c r="BB39" s="1"/>
      <c r="BC39" s="1"/>
      <c r="BD39" s="1" t="s">
        <v>294</v>
      </c>
      <c r="BE39" s="1" t="s">
        <v>122</v>
      </c>
      <c r="BF39" s="1">
        <v>1.5</v>
      </c>
      <c r="BG39" s="1" t="str">
        <f>"[24]"</f>
        <v>[24]</v>
      </c>
      <c r="BH39" s="1" t="s">
        <v>118</v>
      </c>
      <c r="BI39" s="1">
        <v>0</v>
      </c>
      <c r="BJ39" s="1"/>
      <c r="BK39" s="1"/>
      <c r="BL39" s="1"/>
      <c r="BM39" s="1"/>
      <c r="BN39" s="1" t="s">
        <v>154</v>
      </c>
      <c r="BO39" s="1"/>
      <c r="BP39" s="1"/>
      <c r="BQ39" s="1"/>
      <c r="BR39" s="1" t="s">
        <v>131</v>
      </c>
      <c r="BS39" s="1"/>
      <c r="BT39" s="1"/>
      <c r="BU39" s="1" t="s">
        <v>522</v>
      </c>
      <c r="BV39" s="1" t="s">
        <v>523</v>
      </c>
      <c r="BW39" s="1" t="s">
        <v>524</v>
      </c>
      <c r="BX39" s="1" t="s">
        <v>317</v>
      </c>
      <c r="BY39" s="1" t="s">
        <v>318</v>
      </c>
      <c r="BZ39" s="1" t="s">
        <v>525</v>
      </c>
      <c r="CA39" s="1" t="s">
        <v>526</v>
      </c>
      <c r="CB39" s="1" t="s">
        <v>527</v>
      </c>
      <c r="CC39" s="1" t="s">
        <v>528</v>
      </c>
      <c r="CD39" s="1" t="s">
        <v>294</v>
      </c>
      <c r="CE39" s="1" t="s">
        <v>529</v>
      </c>
      <c r="CF39" s="1" t="s">
        <v>146</v>
      </c>
      <c r="CG39" s="1"/>
      <c r="CH39" s="1"/>
      <c r="CI39" s="1" t="str">
        <f>"0"</f>
        <v>0</v>
      </c>
      <c r="CJ39" s="1"/>
      <c r="CK39" s="1"/>
      <c r="CL39" s="1" t="s">
        <v>131</v>
      </c>
      <c r="CM39" s="1"/>
      <c r="CN39" s="1" t="s">
        <v>132</v>
      </c>
      <c r="CO39" s="1" t="s">
        <v>118</v>
      </c>
    </row>
    <row r="40" spans="1:93" x14ac:dyDescent="0.3">
      <c r="A40" s="1">
        <v>1738877</v>
      </c>
      <c r="B40" s="1">
        <v>1300168</v>
      </c>
      <c r="C40" s="1" t="str">
        <f>"660104450282"</f>
        <v>660104450282</v>
      </c>
      <c r="D40" s="1" t="s">
        <v>530</v>
      </c>
      <c r="E40" s="1" t="s">
        <v>531</v>
      </c>
      <c r="F40" s="1" t="s">
        <v>393</v>
      </c>
      <c r="G40" s="2">
        <v>24111</v>
      </c>
      <c r="H40" s="1"/>
      <c r="I40" s="1" t="s">
        <v>106</v>
      </c>
      <c r="J40" s="1" t="s">
        <v>107</v>
      </c>
      <c r="K40" s="1" t="s">
        <v>254</v>
      </c>
      <c r="L40" s="1"/>
      <c r="M40" s="1"/>
      <c r="N40" s="1"/>
      <c r="O40" s="1"/>
      <c r="P40" s="1" t="s">
        <v>109</v>
      </c>
      <c r="Q40" s="1"/>
      <c r="R40" s="1"/>
      <c r="S40" s="1"/>
      <c r="T40" s="1"/>
      <c r="U40" s="1"/>
      <c r="V40" s="1"/>
      <c r="W40" s="1" t="str">
        <f>"2019-03-01T00:00:00"</f>
        <v>2019-03-01T00:00:00</v>
      </c>
      <c r="X40" s="1" t="str">
        <f>"62"</f>
        <v>62</v>
      </c>
      <c r="Y40" s="1"/>
      <c r="Z40" s="1" t="s">
        <v>488</v>
      </c>
      <c r="AA40" s="1" t="s">
        <v>111</v>
      </c>
      <c r="AB40" s="1"/>
      <c r="AC40" s="1"/>
      <c r="AD40" s="1"/>
      <c r="AE40" s="1" t="s">
        <v>138</v>
      </c>
      <c r="AF40" s="1" t="s">
        <v>532</v>
      </c>
      <c r="AG40" s="1">
        <v>1</v>
      </c>
      <c r="AH40" s="1" t="s">
        <v>114</v>
      </c>
      <c r="AI40" s="1" t="s">
        <v>115</v>
      </c>
      <c r="AJ40" s="1" t="s">
        <v>201</v>
      </c>
      <c r="AK40" s="1"/>
      <c r="AL40" s="1"/>
      <c r="AM40" s="1"/>
      <c r="AN40" s="1" t="s">
        <v>442</v>
      </c>
      <c r="AO40" s="1"/>
      <c r="AP40" s="1" t="str">
        <f>"29"</f>
        <v>29</v>
      </c>
      <c r="AQ40" s="1" t="str">
        <f>"33"</f>
        <v>33</v>
      </c>
      <c r="AR40" s="1"/>
      <c r="AS40" s="1" t="str">
        <f>"0"</f>
        <v>0</v>
      </c>
      <c r="AT40" s="1" t="str">
        <f>"4"</f>
        <v>4</v>
      </c>
      <c r="AU40" s="1"/>
      <c r="AV40" s="1"/>
      <c r="AW40" s="1"/>
      <c r="AX40" s="1"/>
      <c r="AY40" s="1"/>
      <c r="AZ40" s="1"/>
      <c r="BA40" s="1"/>
      <c r="BB40" s="1"/>
      <c r="BC40" s="1"/>
      <c r="BD40" s="1"/>
      <c r="BE40" s="1"/>
      <c r="BF40" s="1"/>
      <c r="BG40" s="1"/>
      <c r="BH40" s="1" t="s">
        <v>445</v>
      </c>
      <c r="BI40" s="1">
        <v>0.5</v>
      </c>
      <c r="BJ40" s="1"/>
      <c r="BK40" s="1"/>
      <c r="BL40" s="1"/>
      <c r="BM40" s="1"/>
      <c r="BN40" s="1"/>
      <c r="BO40" s="1"/>
      <c r="BP40" s="1"/>
      <c r="BQ40" s="1"/>
      <c r="BR40" s="1"/>
      <c r="BS40" s="1"/>
      <c r="BT40" s="1"/>
      <c r="BU40" s="1"/>
      <c r="BV40" s="1"/>
      <c r="BW40" s="1"/>
      <c r="BX40" s="1"/>
      <c r="BY40" s="1"/>
      <c r="BZ40" s="1"/>
      <c r="CA40" s="1"/>
      <c r="CB40" s="1"/>
      <c r="CC40" s="1"/>
      <c r="CD40" s="1"/>
      <c r="CE40" s="1" t="s">
        <v>130</v>
      </c>
      <c r="CF40" s="1"/>
      <c r="CG40" s="1"/>
      <c r="CH40" s="1"/>
      <c r="CI40" s="1"/>
      <c r="CJ40" s="1"/>
      <c r="CK40" s="1"/>
      <c r="CL40" s="1"/>
      <c r="CM40" s="1"/>
      <c r="CN40" s="1"/>
      <c r="CO40" s="1"/>
    </row>
    <row r="41" spans="1:93" hidden="1" x14ac:dyDescent="0.3">
      <c r="A41" s="1">
        <v>1922592</v>
      </c>
      <c r="B41" s="1">
        <v>368754</v>
      </c>
      <c r="C41" s="1" t="str">
        <f>"950428400724"</f>
        <v>950428400724</v>
      </c>
      <c r="D41" s="1" t="s">
        <v>533</v>
      </c>
      <c r="E41" s="1" t="s">
        <v>534</v>
      </c>
      <c r="F41" s="1"/>
      <c r="G41" s="2">
        <v>34817</v>
      </c>
      <c r="H41" s="1"/>
      <c r="I41" s="1" t="s">
        <v>106</v>
      </c>
      <c r="J41" s="1" t="s">
        <v>107</v>
      </c>
      <c r="K41" s="1" t="s">
        <v>108</v>
      </c>
      <c r="L41" s="1"/>
      <c r="M41" s="1"/>
      <c r="N41" s="1"/>
      <c r="O41" s="1"/>
      <c r="P41" s="1" t="s">
        <v>109</v>
      </c>
      <c r="Q41" s="1" t="s">
        <v>136</v>
      </c>
      <c r="R41" s="1"/>
      <c r="S41" s="1"/>
      <c r="T41" s="1"/>
      <c r="U41" s="1"/>
      <c r="V41" s="1"/>
      <c r="W41" s="1" t="str">
        <f>"2023-05-05T00:00:00"</f>
        <v>2023-05-05T00:00:00</v>
      </c>
      <c r="X41" s="1" t="str">
        <f>"4"</f>
        <v>4</v>
      </c>
      <c r="Y41" s="1"/>
      <c r="Z41" s="1" t="s">
        <v>110</v>
      </c>
      <c r="AA41" s="1" t="s">
        <v>111</v>
      </c>
      <c r="AB41" s="1"/>
      <c r="AC41" s="1"/>
      <c r="AD41" s="1"/>
      <c r="AE41" s="1" t="s">
        <v>112</v>
      </c>
      <c r="AF41" s="1" t="s">
        <v>113</v>
      </c>
      <c r="AG41" s="1">
        <v>0</v>
      </c>
      <c r="AH41" s="1" t="s">
        <v>114</v>
      </c>
      <c r="AI41" s="1" t="s">
        <v>218</v>
      </c>
      <c r="AJ41" s="1" t="s">
        <v>219</v>
      </c>
      <c r="AK41" s="1"/>
      <c r="AL41" s="1"/>
      <c r="AM41" s="1"/>
      <c r="AN41" s="1" t="s">
        <v>117</v>
      </c>
      <c r="AO41" s="1" t="s">
        <v>118</v>
      </c>
      <c r="AP41" s="1" t="str">
        <f>"1"</f>
        <v>1</v>
      </c>
      <c r="AQ41" s="1" t="str">
        <f>"1"</f>
        <v>1</v>
      </c>
      <c r="AR41" s="1" t="str">
        <f>"1"</f>
        <v>1</v>
      </c>
      <c r="AS41" s="1" t="str">
        <f>"1"</f>
        <v>1</v>
      </c>
      <c r="AT41" s="1" t="str">
        <f>"0"</f>
        <v>0</v>
      </c>
      <c r="AU41" s="1" t="str">
        <f>"1995aliya@mail.ru"</f>
        <v>1995aliya@mail.ru</v>
      </c>
      <c r="AV41" s="1" t="str">
        <f>"87051101911"</f>
        <v>87051101911</v>
      </c>
      <c r="AW41" s="1" t="s">
        <v>119</v>
      </c>
      <c r="AX41" s="1"/>
      <c r="AY41" s="1"/>
      <c r="AZ41" s="1" t="s">
        <v>170</v>
      </c>
      <c r="BA41" s="1"/>
      <c r="BB41" s="1"/>
      <c r="BC41" s="1"/>
      <c r="BD41" s="1" t="s">
        <v>184</v>
      </c>
      <c r="BE41" s="1" t="s">
        <v>122</v>
      </c>
      <c r="BF41" s="1">
        <v>0</v>
      </c>
      <c r="BG41" s="1" t="str">
        <f>"[0]"</f>
        <v>[0]</v>
      </c>
      <c r="BH41" s="1" t="s">
        <v>118</v>
      </c>
      <c r="BI41" s="1">
        <v>0</v>
      </c>
      <c r="BJ41" s="1"/>
      <c r="BK41" s="1"/>
      <c r="BL41" s="1"/>
      <c r="BM41" s="1"/>
      <c r="BN41" s="1"/>
      <c r="BO41" s="1"/>
      <c r="BP41" s="1"/>
      <c r="BQ41" s="1"/>
      <c r="BR41" s="1"/>
      <c r="BS41" s="1"/>
      <c r="BT41" s="1"/>
      <c r="BU41" s="1" t="s">
        <v>535</v>
      </c>
      <c r="BV41" s="1"/>
      <c r="BW41" s="1"/>
      <c r="BX41" s="1"/>
      <c r="BY41" s="1"/>
      <c r="BZ41" s="1"/>
      <c r="CA41" s="1"/>
      <c r="CB41" s="1"/>
      <c r="CC41" s="1"/>
      <c r="CD41" s="1" t="s">
        <v>184</v>
      </c>
      <c r="CE41" s="1" t="s">
        <v>536</v>
      </c>
      <c r="CF41" s="1"/>
      <c r="CG41" s="1"/>
      <c r="CH41" s="1"/>
      <c r="CI41" s="1" t="str">
        <f>"4"</f>
        <v>4</v>
      </c>
      <c r="CJ41" s="1"/>
      <c r="CK41" s="1"/>
      <c r="CL41" s="1" t="s">
        <v>136</v>
      </c>
      <c r="CM41" s="1"/>
      <c r="CN41" s="1" t="s">
        <v>193</v>
      </c>
      <c r="CO41" s="1" t="s">
        <v>118</v>
      </c>
    </row>
    <row r="42" spans="1:93" hidden="1" x14ac:dyDescent="0.3">
      <c r="A42" s="1">
        <v>1975443</v>
      </c>
      <c r="B42" s="1">
        <v>157538</v>
      </c>
      <c r="C42" s="1" t="str">
        <f>"701220450484"</f>
        <v>701220450484</v>
      </c>
      <c r="D42" s="1" t="s">
        <v>537</v>
      </c>
      <c r="E42" s="1" t="s">
        <v>346</v>
      </c>
      <c r="F42" s="1" t="s">
        <v>538</v>
      </c>
      <c r="G42" s="2">
        <v>25922</v>
      </c>
      <c r="H42" s="1"/>
      <c r="I42" s="1" t="s">
        <v>106</v>
      </c>
      <c r="J42" s="1" t="s">
        <v>107</v>
      </c>
      <c r="K42" s="1" t="s">
        <v>198</v>
      </c>
      <c r="L42" s="1"/>
      <c r="M42" s="1"/>
      <c r="N42" s="1"/>
      <c r="O42" s="1"/>
      <c r="P42" s="1" t="s">
        <v>109</v>
      </c>
      <c r="Q42" s="1" t="s">
        <v>136</v>
      </c>
      <c r="R42" s="1"/>
      <c r="S42" s="1"/>
      <c r="T42" s="1"/>
      <c r="U42" s="1"/>
      <c r="V42" s="1"/>
      <c r="W42" s="1" t="str">
        <f>"2020-08-25T00:00:00"</f>
        <v>2020-08-25T00:00:00</v>
      </c>
      <c r="X42" s="1" t="str">
        <f>"176"</f>
        <v>176</v>
      </c>
      <c r="Y42" s="1"/>
      <c r="Z42" s="1" t="s">
        <v>539</v>
      </c>
      <c r="AA42" s="1" t="s">
        <v>111</v>
      </c>
      <c r="AB42" s="1"/>
      <c r="AC42" s="1"/>
      <c r="AD42" s="1"/>
      <c r="AE42" s="1" t="s">
        <v>138</v>
      </c>
      <c r="AF42" s="1" t="s">
        <v>113</v>
      </c>
      <c r="AG42" s="1">
        <v>1</v>
      </c>
      <c r="AH42" s="1" t="s">
        <v>114</v>
      </c>
      <c r="AI42" s="1" t="s">
        <v>218</v>
      </c>
      <c r="AJ42" s="1" t="s">
        <v>219</v>
      </c>
      <c r="AK42" s="1"/>
      <c r="AL42" s="1"/>
      <c r="AM42" s="1"/>
      <c r="AN42" s="1" t="s">
        <v>117</v>
      </c>
      <c r="AO42" s="1" t="s">
        <v>118</v>
      </c>
      <c r="AP42" s="1" t="str">
        <f>"26"</f>
        <v>26</v>
      </c>
      <c r="AQ42" s="1" t="str">
        <f>"29"</f>
        <v>29</v>
      </c>
      <c r="AR42" s="1" t="str">
        <f>"29"</f>
        <v>29</v>
      </c>
      <c r="AS42" s="1" t="str">
        <f>"29"</f>
        <v>29</v>
      </c>
      <c r="AT42" s="1" t="str">
        <f t="shared" ref="AT42:AT47" si="1">"3"</f>
        <v>3</v>
      </c>
      <c r="AU42" s="1" t="str">
        <f>"lena_astra70@mail.ru"</f>
        <v>lena_astra70@mail.ru</v>
      </c>
      <c r="AV42" s="1" t="str">
        <f>"87016128790"</f>
        <v>87016128790</v>
      </c>
      <c r="AW42" s="1" t="s">
        <v>152</v>
      </c>
      <c r="AX42" s="1" t="s">
        <v>221</v>
      </c>
      <c r="AY42" s="1"/>
      <c r="AZ42" s="1" t="s">
        <v>204</v>
      </c>
      <c r="BA42" s="1"/>
      <c r="BB42" s="1"/>
      <c r="BC42" s="1"/>
      <c r="BD42" s="1" t="s">
        <v>540</v>
      </c>
      <c r="BE42" s="1" t="s">
        <v>122</v>
      </c>
      <c r="BF42" s="1">
        <v>1</v>
      </c>
      <c r="BG42" s="1" t="str">
        <f>"[16]"</f>
        <v>[16]</v>
      </c>
      <c r="BH42" s="1" t="s">
        <v>113</v>
      </c>
      <c r="BI42" s="1">
        <v>0.5</v>
      </c>
      <c r="BJ42" s="1" t="s">
        <v>119</v>
      </c>
      <c r="BK42" s="1"/>
      <c r="BL42" s="1" t="s">
        <v>121</v>
      </c>
      <c r="BM42" s="1">
        <v>0.5</v>
      </c>
      <c r="BN42" s="1" t="s">
        <v>154</v>
      </c>
      <c r="BO42" s="1"/>
      <c r="BP42" s="1"/>
      <c r="BQ42" s="1"/>
      <c r="BR42" s="1" t="s">
        <v>131</v>
      </c>
      <c r="BS42" s="1"/>
      <c r="BT42" s="1"/>
      <c r="BU42" s="1" t="s">
        <v>541</v>
      </c>
      <c r="BV42" s="1" t="s">
        <v>542</v>
      </c>
      <c r="BW42" s="1" t="s">
        <v>543</v>
      </c>
      <c r="BX42" s="1" t="s">
        <v>544</v>
      </c>
      <c r="BY42" s="1" t="s">
        <v>545</v>
      </c>
      <c r="BZ42" s="1" t="s">
        <v>546</v>
      </c>
      <c r="CA42" s="1" t="s">
        <v>547</v>
      </c>
      <c r="CB42" s="1" t="s">
        <v>548</v>
      </c>
      <c r="CC42" s="1" t="s">
        <v>549</v>
      </c>
      <c r="CD42" s="1" t="s">
        <v>540</v>
      </c>
      <c r="CE42" s="1" t="s">
        <v>550</v>
      </c>
      <c r="CF42" s="1" t="s">
        <v>146</v>
      </c>
      <c r="CG42" s="1"/>
      <c r="CH42" s="1"/>
      <c r="CI42" s="1" t="str">
        <f t="shared" ref="CI42:CI51" si="2">"0"</f>
        <v>0</v>
      </c>
      <c r="CJ42" s="1"/>
      <c r="CK42" s="1"/>
      <c r="CL42" s="1" t="s">
        <v>131</v>
      </c>
      <c r="CM42" s="1"/>
      <c r="CN42" s="1" t="s">
        <v>132</v>
      </c>
      <c r="CO42" s="1" t="s">
        <v>118</v>
      </c>
    </row>
    <row r="43" spans="1:93" hidden="1" x14ac:dyDescent="0.3">
      <c r="A43" s="1">
        <v>1975587</v>
      </c>
      <c r="B43" s="1">
        <v>1434393</v>
      </c>
      <c r="C43" s="1" t="str">
        <f>"980227351428"</f>
        <v>980227351428</v>
      </c>
      <c r="D43" s="1" t="s">
        <v>551</v>
      </c>
      <c r="E43" s="1" t="s">
        <v>552</v>
      </c>
      <c r="F43" s="1"/>
      <c r="G43" s="2">
        <v>35853</v>
      </c>
      <c r="H43" s="1"/>
      <c r="I43" s="1" t="s">
        <v>106</v>
      </c>
      <c r="J43" s="1" t="s">
        <v>107</v>
      </c>
      <c r="K43" s="1" t="s">
        <v>108</v>
      </c>
      <c r="L43" s="1"/>
      <c r="M43" s="1"/>
      <c r="N43" s="1"/>
      <c r="O43" s="1"/>
      <c r="P43" s="1" t="s">
        <v>109</v>
      </c>
      <c r="Q43" s="1" t="s">
        <v>136</v>
      </c>
      <c r="R43" s="1"/>
      <c r="S43" s="1"/>
      <c r="T43" s="1"/>
      <c r="U43" s="1"/>
      <c r="V43" s="1"/>
      <c r="W43" s="1" t="str">
        <f>"2020-08-29T00:00:00"</f>
        <v>2020-08-29T00:00:00</v>
      </c>
      <c r="X43" s="1" t="str">
        <f>"183"</f>
        <v>183</v>
      </c>
      <c r="Y43" s="1"/>
      <c r="Z43" s="1" t="s">
        <v>110</v>
      </c>
      <c r="AA43" s="1" t="s">
        <v>111</v>
      </c>
      <c r="AB43" s="1"/>
      <c r="AC43" s="1"/>
      <c r="AD43" s="1"/>
      <c r="AE43" s="1" t="s">
        <v>138</v>
      </c>
      <c r="AF43" s="1" t="s">
        <v>113</v>
      </c>
      <c r="AG43" s="1">
        <v>1.5</v>
      </c>
      <c r="AH43" s="1" t="s">
        <v>114</v>
      </c>
      <c r="AI43" s="1" t="s">
        <v>115</v>
      </c>
      <c r="AJ43" s="1" t="s">
        <v>116</v>
      </c>
      <c r="AK43" s="1"/>
      <c r="AL43" s="1"/>
      <c r="AM43" s="1"/>
      <c r="AN43" s="1" t="s">
        <v>117</v>
      </c>
      <c r="AO43" s="1" t="s">
        <v>118</v>
      </c>
      <c r="AP43" s="1" t="str">
        <f>"3"</f>
        <v>3</v>
      </c>
      <c r="AQ43" s="1" t="str">
        <f>"6"</f>
        <v>6</v>
      </c>
      <c r="AR43" s="1" t="str">
        <f>"3"</f>
        <v>3</v>
      </c>
      <c r="AS43" s="1" t="str">
        <f>"3"</f>
        <v>3</v>
      </c>
      <c r="AT43" s="1" t="str">
        <f t="shared" si="1"/>
        <v>3</v>
      </c>
      <c r="AU43" s="1" t="str">
        <f>"ikrambekyzya@mail.ru"</f>
        <v>ikrambekyzya@mail.ru</v>
      </c>
      <c r="AV43" s="1" t="str">
        <f>"87718998618"</f>
        <v>87718998618</v>
      </c>
      <c r="AW43" s="1" t="s">
        <v>119</v>
      </c>
      <c r="AX43" s="1"/>
      <c r="AY43" s="1"/>
      <c r="AZ43" s="1" t="s">
        <v>183</v>
      </c>
      <c r="BA43" s="1"/>
      <c r="BB43" s="1"/>
      <c r="BC43" s="1"/>
      <c r="BD43" s="1" t="s">
        <v>367</v>
      </c>
      <c r="BE43" s="1" t="s">
        <v>122</v>
      </c>
      <c r="BF43" s="1">
        <v>1.5</v>
      </c>
      <c r="BG43" s="1" t="str">
        <f>"[24]"</f>
        <v>[24]</v>
      </c>
      <c r="BH43" s="1" t="s">
        <v>118</v>
      </c>
      <c r="BI43" s="1">
        <v>0</v>
      </c>
      <c r="BJ43" s="1"/>
      <c r="BK43" s="1"/>
      <c r="BL43" s="1"/>
      <c r="BM43" s="1"/>
      <c r="BN43" s="1" t="s">
        <v>142</v>
      </c>
      <c r="BO43" s="1"/>
      <c r="BP43" s="1"/>
      <c r="BQ43" s="1"/>
      <c r="BR43" s="1" t="s">
        <v>131</v>
      </c>
      <c r="BS43" s="1"/>
      <c r="BT43" s="1"/>
      <c r="BU43" s="1" t="s">
        <v>553</v>
      </c>
      <c r="BV43" s="1" t="s">
        <v>554</v>
      </c>
      <c r="BW43" s="1" t="s">
        <v>555</v>
      </c>
      <c r="BX43" s="1" t="s">
        <v>556</v>
      </c>
      <c r="BY43" s="1" t="s">
        <v>557</v>
      </c>
      <c r="BZ43" s="1" t="s">
        <v>558</v>
      </c>
      <c r="CA43" s="1" t="s">
        <v>559</v>
      </c>
      <c r="CB43" s="1" t="s">
        <v>560</v>
      </c>
      <c r="CC43" s="1" t="s">
        <v>561</v>
      </c>
      <c r="CD43" s="1" t="s">
        <v>367</v>
      </c>
      <c r="CE43" s="1" t="s">
        <v>562</v>
      </c>
      <c r="CF43" s="1" t="s">
        <v>146</v>
      </c>
      <c r="CG43" s="1"/>
      <c r="CH43" s="1"/>
      <c r="CI43" s="1" t="str">
        <f t="shared" si="2"/>
        <v>0</v>
      </c>
      <c r="CJ43" s="1"/>
      <c r="CK43" s="1"/>
      <c r="CL43" s="1" t="s">
        <v>131</v>
      </c>
      <c r="CM43" s="1"/>
      <c r="CN43" s="1" t="s">
        <v>132</v>
      </c>
      <c r="CO43" s="1" t="s">
        <v>118</v>
      </c>
    </row>
    <row r="44" spans="1:93" hidden="1" x14ac:dyDescent="0.3">
      <c r="A44" s="1">
        <v>1981225</v>
      </c>
      <c r="B44" s="1">
        <v>156122</v>
      </c>
      <c r="C44" s="1" t="str">
        <f>"710402401444"</f>
        <v>710402401444</v>
      </c>
      <c r="D44" s="1" t="s">
        <v>563</v>
      </c>
      <c r="E44" s="1" t="s">
        <v>564</v>
      </c>
      <c r="F44" s="1" t="s">
        <v>565</v>
      </c>
      <c r="G44" s="2">
        <v>26025</v>
      </c>
      <c r="H44" s="1"/>
      <c r="I44" s="1" t="s">
        <v>106</v>
      </c>
      <c r="J44" s="1" t="s">
        <v>107</v>
      </c>
      <c r="K44" s="1" t="s">
        <v>108</v>
      </c>
      <c r="L44" s="1"/>
      <c r="M44" s="1"/>
      <c r="N44" s="1"/>
      <c r="O44" s="1"/>
      <c r="P44" s="1" t="s">
        <v>109</v>
      </c>
      <c r="Q44" s="1" t="s">
        <v>136</v>
      </c>
      <c r="R44" s="1"/>
      <c r="S44" s="1"/>
      <c r="T44" s="1"/>
      <c r="U44" s="1"/>
      <c r="V44" s="1"/>
      <c r="W44" s="1" t="str">
        <f>"2020-09-01T00:00:00"</f>
        <v>2020-09-01T00:00:00</v>
      </c>
      <c r="X44" s="1" t="str">
        <f>"192"</f>
        <v>192</v>
      </c>
      <c r="Y44" s="1"/>
      <c r="Z44" s="1" t="s">
        <v>110</v>
      </c>
      <c r="AA44" s="1" t="s">
        <v>111</v>
      </c>
      <c r="AB44" s="1"/>
      <c r="AC44" s="1"/>
      <c r="AD44" s="1"/>
      <c r="AE44" s="1" t="s">
        <v>138</v>
      </c>
      <c r="AF44" s="1" t="s">
        <v>113</v>
      </c>
      <c r="AG44" s="1">
        <v>1.5</v>
      </c>
      <c r="AH44" s="1" t="s">
        <v>114</v>
      </c>
      <c r="AI44" s="1" t="s">
        <v>115</v>
      </c>
      <c r="AJ44" s="1" t="s">
        <v>116</v>
      </c>
      <c r="AK44" s="1"/>
      <c r="AL44" s="1"/>
      <c r="AM44" s="1"/>
      <c r="AN44" s="1" t="s">
        <v>117</v>
      </c>
      <c r="AO44" s="1" t="s">
        <v>118</v>
      </c>
      <c r="AP44" s="1" t="str">
        <f>"19"</f>
        <v>19</v>
      </c>
      <c r="AQ44" s="1" t="str">
        <f>"22"</f>
        <v>22</v>
      </c>
      <c r="AR44" s="1" t="str">
        <f>"21"</f>
        <v>21</v>
      </c>
      <c r="AS44" s="1" t="str">
        <f>"21"</f>
        <v>21</v>
      </c>
      <c r="AT44" s="1" t="str">
        <f t="shared" si="1"/>
        <v>3</v>
      </c>
      <c r="AU44" s="1" t="str">
        <f>"zhuvarova71@mail.ru"</f>
        <v>zhuvarova71@mail.ru</v>
      </c>
      <c r="AV44" s="1" t="str">
        <f>"87055855524"</f>
        <v>87055855524</v>
      </c>
      <c r="AW44" s="1" t="s">
        <v>139</v>
      </c>
      <c r="AX44" s="1" t="s">
        <v>389</v>
      </c>
      <c r="AY44" s="1" t="s">
        <v>203</v>
      </c>
      <c r="AZ44" s="1" t="s">
        <v>204</v>
      </c>
      <c r="BA44" s="1"/>
      <c r="BB44" s="1"/>
      <c r="BC44" s="1"/>
      <c r="BD44" s="1" t="s">
        <v>141</v>
      </c>
      <c r="BE44" s="1" t="s">
        <v>122</v>
      </c>
      <c r="BF44" s="1">
        <v>1.5</v>
      </c>
      <c r="BG44" s="1" t="str">
        <f>"[24]"</f>
        <v>[24]</v>
      </c>
      <c r="BH44" s="1" t="s">
        <v>477</v>
      </c>
      <c r="BI44" s="1">
        <v>0.7</v>
      </c>
      <c r="BJ44" s="1" t="s">
        <v>119</v>
      </c>
      <c r="BK44" s="1"/>
      <c r="BL44" s="1" t="s">
        <v>164</v>
      </c>
      <c r="BM44" s="1">
        <v>0</v>
      </c>
      <c r="BN44" s="1" t="s">
        <v>154</v>
      </c>
      <c r="BO44" s="1"/>
      <c r="BP44" s="1"/>
      <c r="BQ44" s="1"/>
      <c r="BR44" s="1" t="s">
        <v>131</v>
      </c>
      <c r="BS44" s="1"/>
      <c r="BT44" s="1"/>
      <c r="BU44" s="1" t="s">
        <v>566</v>
      </c>
      <c r="BV44" s="1" t="s">
        <v>567</v>
      </c>
      <c r="BW44" s="1" t="s">
        <v>568</v>
      </c>
      <c r="BX44" s="1" t="s">
        <v>244</v>
      </c>
      <c r="BY44" s="1" t="s">
        <v>569</v>
      </c>
      <c r="BZ44" s="1" t="s">
        <v>570</v>
      </c>
      <c r="CA44" s="1" t="s">
        <v>571</v>
      </c>
      <c r="CB44" s="1" t="s">
        <v>572</v>
      </c>
      <c r="CC44" s="1" t="s">
        <v>573</v>
      </c>
      <c r="CD44" s="1" t="s">
        <v>164</v>
      </c>
      <c r="CE44" s="1" t="s">
        <v>574</v>
      </c>
      <c r="CF44" s="1" t="s">
        <v>146</v>
      </c>
      <c r="CG44" s="1"/>
      <c r="CH44" s="1"/>
      <c r="CI44" s="1" t="str">
        <f t="shared" si="2"/>
        <v>0</v>
      </c>
      <c r="CJ44" s="1"/>
      <c r="CK44" s="1"/>
      <c r="CL44" s="1" t="s">
        <v>136</v>
      </c>
      <c r="CM44" s="1"/>
      <c r="CN44" s="1" t="s">
        <v>132</v>
      </c>
      <c r="CO44" s="1" t="s">
        <v>230</v>
      </c>
    </row>
    <row r="45" spans="1:93" hidden="1" x14ac:dyDescent="0.3">
      <c r="A45" s="1">
        <v>1981470</v>
      </c>
      <c r="B45" s="1">
        <v>159414</v>
      </c>
      <c r="C45" s="1" t="str">
        <f>"740401300886"</f>
        <v>740401300886</v>
      </c>
      <c r="D45" s="1" t="s">
        <v>575</v>
      </c>
      <c r="E45" s="1" t="s">
        <v>576</v>
      </c>
      <c r="F45" s="1" t="s">
        <v>577</v>
      </c>
      <c r="G45" s="2">
        <v>27120</v>
      </c>
      <c r="H45" s="1"/>
      <c r="I45" s="1" t="s">
        <v>496</v>
      </c>
      <c r="J45" s="1" t="s">
        <v>107</v>
      </c>
      <c r="K45" s="1" t="s">
        <v>108</v>
      </c>
      <c r="L45" s="1"/>
      <c r="M45" s="1"/>
      <c r="N45" s="1"/>
      <c r="O45" s="1"/>
      <c r="P45" s="1" t="s">
        <v>497</v>
      </c>
      <c r="Q45" s="1" t="s">
        <v>136</v>
      </c>
      <c r="R45" s="1"/>
      <c r="S45" s="1"/>
      <c r="T45" s="1"/>
      <c r="U45" s="1"/>
      <c r="V45" s="1"/>
      <c r="W45" s="1" t="str">
        <f>"2020-08-28T00:00:00"</f>
        <v>2020-08-28T00:00:00</v>
      </c>
      <c r="X45" s="1" t="str">
        <f>"180"</f>
        <v>180</v>
      </c>
      <c r="Y45" s="1"/>
      <c r="Z45" s="1" t="s">
        <v>137</v>
      </c>
      <c r="AA45" s="1" t="s">
        <v>111</v>
      </c>
      <c r="AB45" s="1"/>
      <c r="AC45" s="1"/>
      <c r="AD45" s="1"/>
      <c r="AE45" s="1" t="s">
        <v>138</v>
      </c>
      <c r="AF45" s="1" t="s">
        <v>113</v>
      </c>
      <c r="AG45" s="1">
        <v>1.5</v>
      </c>
      <c r="AH45" s="1" t="s">
        <v>114</v>
      </c>
      <c r="AI45" s="1" t="s">
        <v>115</v>
      </c>
      <c r="AJ45" s="1" t="s">
        <v>116</v>
      </c>
      <c r="AK45" s="1"/>
      <c r="AL45" s="1"/>
      <c r="AM45" s="1"/>
      <c r="AN45" s="1" t="s">
        <v>117</v>
      </c>
      <c r="AO45" s="1" t="s">
        <v>118</v>
      </c>
      <c r="AP45" s="1" t="str">
        <f>"22"</f>
        <v>22</v>
      </c>
      <c r="AQ45" s="1" t="str">
        <f>"25"</f>
        <v>25</v>
      </c>
      <c r="AR45" s="1" t="str">
        <f>"25"</f>
        <v>25</v>
      </c>
      <c r="AS45" s="1" t="str">
        <f>"25"</f>
        <v>25</v>
      </c>
      <c r="AT45" s="1" t="str">
        <f t="shared" si="1"/>
        <v>3</v>
      </c>
      <c r="AU45" s="1" t="str">
        <f>"kayrat.kabylbayev@bk.ru"</f>
        <v>kayrat.kabylbayev@bk.ru</v>
      </c>
      <c r="AV45" s="1" t="str">
        <f>"87759484541"</f>
        <v>87759484541</v>
      </c>
      <c r="AW45" s="1" t="s">
        <v>578</v>
      </c>
      <c r="AX45" s="1" t="s">
        <v>579</v>
      </c>
      <c r="AY45" s="1"/>
      <c r="AZ45" s="1" t="s">
        <v>204</v>
      </c>
      <c r="BA45" s="1"/>
      <c r="BB45" s="1"/>
      <c r="BC45" s="1"/>
      <c r="BD45" s="1" t="s">
        <v>501</v>
      </c>
      <c r="BE45" s="1" t="s">
        <v>122</v>
      </c>
      <c r="BF45" s="1">
        <v>1.5</v>
      </c>
      <c r="BG45" s="1" t="str">
        <f>"[24]"</f>
        <v>[24]</v>
      </c>
      <c r="BH45" s="1" t="s">
        <v>118</v>
      </c>
      <c r="BI45" s="1">
        <v>0</v>
      </c>
      <c r="BJ45" s="1"/>
      <c r="BK45" s="1"/>
      <c r="BL45" s="1"/>
      <c r="BM45" s="1"/>
      <c r="BN45" s="1" t="s">
        <v>154</v>
      </c>
      <c r="BO45" s="1"/>
      <c r="BP45" s="1"/>
      <c r="BQ45" s="1"/>
      <c r="BR45" s="1" t="s">
        <v>131</v>
      </c>
      <c r="BS45" s="1"/>
      <c r="BT45" s="1"/>
      <c r="BU45" s="1" t="s">
        <v>580</v>
      </c>
      <c r="BV45" s="1" t="s">
        <v>581</v>
      </c>
      <c r="BW45" s="1" t="s">
        <v>582</v>
      </c>
      <c r="BX45" s="1" t="s">
        <v>583</v>
      </c>
      <c r="BY45" s="1" t="s">
        <v>420</v>
      </c>
      <c r="BZ45" s="1" t="s">
        <v>584</v>
      </c>
      <c r="CA45" s="1" t="s">
        <v>585</v>
      </c>
      <c r="CB45" s="1" t="s">
        <v>586</v>
      </c>
      <c r="CC45" s="1" t="s">
        <v>587</v>
      </c>
      <c r="CD45" s="1" t="s">
        <v>501</v>
      </c>
      <c r="CE45" s="1" t="s">
        <v>588</v>
      </c>
      <c r="CF45" s="1" t="s">
        <v>146</v>
      </c>
      <c r="CG45" s="1"/>
      <c r="CH45" s="1"/>
      <c r="CI45" s="1" t="str">
        <f t="shared" si="2"/>
        <v>0</v>
      </c>
      <c r="CJ45" s="1" t="s">
        <v>136</v>
      </c>
      <c r="CK45" s="1"/>
      <c r="CL45" s="1" t="s">
        <v>136</v>
      </c>
      <c r="CM45" s="1"/>
      <c r="CN45" s="1" t="s">
        <v>132</v>
      </c>
      <c r="CO45" s="1" t="s">
        <v>118</v>
      </c>
    </row>
    <row r="46" spans="1:93" hidden="1" x14ac:dyDescent="0.3">
      <c r="A46" s="1">
        <v>1983571</v>
      </c>
      <c r="B46" s="1">
        <v>144175</v>
      </c>
      <c r="C46" s="1" t="str">
        <f>"890519450830"</f>
        <v>890519450830</v>
      </c>
      <c r="D46" s="1" t="s">
        <v>589</v>
      </c>
      <c r="E46" s="1" t="s">
        <v>590</v>
      </c>
      <c r="F46" s="1" t="s">
        <v>269</v>
      </c>
      <c r="G46" s="2">
        <v>32647</v>
      </c>
      <c r="H46" s="1"/>
      <c r="I46" s="1" t="s">
        <v>106</v>
      </c>
      <c r="J46" s="1" t="s">
        <v>107</v>
      </c>
      <c r="K46" s="1" t="s">
        <v>108</v>
      </c>
      <c r="L46" s="1"/>
      <c r="M46" s="1"/>
      <c r="N46" s="1"/>
      <c r="O46" s="1"/>
      <c r="P46" s="1" t="s">
        <v>109</v>
      </c>
      <c r="Q46" s="1" t="s">
        <v>136</v>
      </c>
      <c r="R46" s="1"/>
      <c r="S46" s="1"/>
      <c r="T46" s="1"/>
      <c r="U46" s="1"/>
      <c r="V46" s="1"/>
      <c r="W46" s="1" t="str">
        <f>"2020-08-25T00:00:00"</f>
        <v>2020-08-25T00:00:00</v>
      </c>
      <c r="X46" s="1" t="str">
        <f>"175"</f>
        <v>175</v>
      </c>
      <c r="Y46" s="1"/>
      <c r="Z46" s="1" t="s">
        <v>366</v>
      </c>
      <c r="AA46" s="1" t="s">
        <v>111</v>
      </c>
      <c r="AB46" s="1"/>
      <c r="AC46" s="1"/>
      <c r="AD46" s="1"/>
      <c r="AE46" s="1" t="s">
        <v>138</v>
      </c>
      <c r="AF46" s="1" t="s">
        <v>200</v>
      </c>
      <c r="AG46" s="1">
        <v>0.9</v>
      </c>
      <c r="AH46" s="1" t="s">
        <v>114</v>
      </c>
      <c r="AI46" s="1" t="s">
        <v>115</v>
      </c>
      <c r="AJ46" s="1" t="s">
        <v>201</v>
      </c>
      <c r="AK46" s="1"/>
      <c r="AL46" s="1"/>
      <c r="AM46" s="1"/>
      <c r="AN46" s="1" t="s">
        <v>117</v>
      </c>
      <c r="AO46" s="1" t="s">
        <v>118</v>
      </c>
      <c r="AP46" s="1" t="str">
        <f>"6"</f>
        <v>6</v>
      </c>
      <c r="AQ46" s="1" t="str">
        <f>"9"</f>
        <v>9</v>
      </c>
      <c r="AR46" s="1" t="str">
        <f>"9"</f>
        <v>9</v>
      </c>
      <c r="AS46" s="1" t="str">
        <f>"9"</f>
        <v>9</v>
      </c>
      <c r="AT46" s="1" t="str">
        <f t="shared" si="1"/>
        <v>3</v>
      </c>
      <c r="AU46" s="1" t="str">
        <f>"Www.shynar@bk.ru"</f>
        <v>Www.shynar@bk.ru</v>
      </c>
      <c r="AV46" s="1" t="str">
        <f>"87056610071"</f>
        <v>87056610071</v>
      </c>
      <c r="AW46" s="1" t="s">
        <v>119</v>
      </c>
      <c r="AX46" s="1"/>
      <c r="AY46" s="1"/>
      <c r="AZ46" s="1" t="s">
        <v>204</v>
      </c>
      <c r="BA46" s="1"/>
      <c r="BB46" s="1"/>
      <c r="BC46" s="1"/>
      <c r="BD46" s="1" t="s">
        <v>205</v>
      </c>
      <c r="BE46" s="1" t="s">
        <v>206</v>
      </c>
      <c r="BF46" s="1">
        <v>0.9</v>
      </c>
      <c r="BG46" s="1" t="str">
        <f>"[14]"</f>
        <v>[14]</v>
      </c>
      <c r="BH46" s="1" t="s">
        <v>591</v>
      </c>
      <c r="BI46" s="1">
        <v>1</v>
      </c>
      <c r="BJ46" s="1" t="s">
        <v>119</v>
      </c>
      <c r="BK46" s="1"/>
      <c r="BL46" s="1"/>
      <c r="BM46" s="1"/>
      <c r="BN46" s="1" t="s">
        <v>154</v>
      </c>
      <c r="BO46" s="1"/>
      <c r="BP46" s="1"/>
      <c r="BQ46" s="1"/>
      <c r="BR46" s="1" t="s">
        <v>131</v>
      </c>
      <c r="BS46" s="1"/>
      <c r="BT46" s="1"/>
      <c r="BU46" s="1" t="s">
        <v>592</v>
      </c>
      <c r="BV46" s="1" t="s">
        <v>593</v>
      </c>
      <c r="BW46" s="1" t="s">
        <v>594</v>
      </c>
      <c r="BX46" s="1" t="s">
        <v>260</v>
      </c>
      <c r="BY46" s="1" t="s">
        <v>261</v>
      </c>
      <c r="BZ46" s="1" t="s">
        <v>595</v>
      </c>
      <c r="CA46" s="1" t="s">
        <v>596</v>
      </c>
      <c r="CB46" s="1" t="s">
        <v>597</v>
      </c>
      <c r="CC46" s="1" t="s">
        <v>598</v>
      </c>
      <c r="CD46" s="1" t="s">
        <v>164</v>
      </c>
      <c r="CE46" s="1" t="s">
        <v>213</v>
      </c>
      <c r="CF46" s="3">
        <v>45383</v>
      </c>
      <c r="CG46" s="1"/>
      <c r="CH46" s="1"/>
      <c r="CI46" s="1" t="str">
        <f t="shared" si="2"/>
        <v>0</v>
      </c>
      <c r="CJ46" s="1" t="s">
        <v>136</v>
      </c>
      <c r="CK46" s="1"/>
      <c r="CL46" s="1" t="s">
        <v>131</v>
      </c>
      <c r="CM46" s="1"/>
      <c r="CN46" s="1" t="s">
        <v>132</v>
      </c>
      <c r="CO46" s="1" t="s">
        <v>118</v>
      </c>
    </row>
    <row r="47" spans="1:93" hidden="1" x14ac:dyDescent="0.3">
      <c r="A47" s="1">
        <v>1984011</v>
      </c>
      <c r="B47" s="1">
        <v>1399115</v>
      </c>
      <c r="C47" s="1" t="str">
        <f>"990914451440"</f>
        <v>990914451440</v>
      </c>
      <c r="D47" s="1" t="s">
        <v>599</v>
      </c>
      <c r="E47" s="1" t="s">
        <v>600</v>
      </c>
      <c r="F47" s="1"/>
      <c r="G47" s="2">
        <v>36417</v>
      </c>
      <c r="H47" s="1"/>
      <c r="I47" s="1" t="s">
        <v>106</v>
      </c>
      <c r="J47" s="1" t="s">
        <v>107</v>
      </c>
      <c r="K47" s="1" t="s">
        <v>108</v>
      </c>
      <c r="L47" s="1"/>
      <c r="M47" s="1"/>
      <c r="N47" s="1"/>
      <c r="O47" s="1"/>
      <c r="P47" s="1" t="s">
        <v>109</v>
      </c>
      <c r="Q47" s="1" t="s">
        <v>136</v>
      </c>
      <c r="R47" s="1"/>
      <c r="S47" s="1"/>
      <c r="T47" s="1"/>
      <c r="U47" s="1"/>
      <c r="V47" s="1"/>
      <c r="W47" s="1" t="str">
        <f>"2020-08-25T00:00:00"</f>
        <v>2020-08-25T00:00:00</v>
      </c>
      <c r="X47" s="1" t="str">
        <f>"174"</f>
        <v>174</v>
      </c>
      <c r="Y47" s="1"/>
      <c r="Z47" s="1" t="s">
        <v>312</v>
      </c>
      <c r="AA47" s="1" t="s">
        <v>111</v>
      </c>
      <c r="AB47" s="1"/>
      <c r="AC47" s="1"/>
      <c r="AD47" s="1"/>
      <c r="AE47" s="1" t="s">
        <v>138</v>
      </c>
      <c r="AF47" s="1" t="s">
        <v>601</v>
      </c>
      <c r="AG47" s="1">
        <v>1.3</v>
      </c>
      <c r="AH47" s="1" t="s">
        <v>114</v>
      </c>
      <c r="AI47" s="1" t="s">
        <v>115</v>
      </c>
      <c r="AJ47" s="1" t="s">
        <v>201</v>
      </c>
      <c r="AK47" s="1"/>
      <c r="AL47" s="1"/>
      <c r="AM47" s="1"/>
      <c r="AN47" s="1" t="s">
        <v>117</v>
      </c>
      <c r="AO47" s="1" t="s">
        <v>118</v>
      </c>
      <c r="AP47" s="1" t="str">
        <f>"1"</f>
        <v>1</v>
      </c>
      <c r="AQ47" s="1" t="str">
        <f>"4"</f>
        <v>4</v>
      </c>
      <c r="AR47" s="1" t="str">
        <f>"4"</f>
        <v>4</v>
      </c>
      <c r="AS47" s="1" t="str">
        <f>"4"</f>
        <v>4</v>
      </c>
      <c r="AT47" s="1" t="str">
        <f t="shared" si="1"/>
        <v>3</v>
      </c>
      <c r="AU47" s="1" t="str">
        <f>"ayanur.murat@mail.ru"</f>
        <v>ayanur.murat@mail.ru</v>
      </c>
      <c r="AV47" s="1" t="str">
        <f>"87774823795"</f>
        <v>87774823795</v>
      </c>
      <c r="AW47" s="1" t="s">
        <v>119</v>
      </c>
      <c r="AX47" s="1"/>
      <c r="AY47" s="1"/>
      <c r="AZ47" s="1" t="s">
        <v>183</v>
      </c>
      <c r="BA47" s="1"/>
      <c r="BB47" s="1"/>
      <c r="BC47" s="1"/>
      <c r="BD47" s="1"/>
      <c r="BE47" s="1"/>
      <c r="BF47" s="1"/>
      <c r="BG47" s="1"/>
      <c r="BH47" s="1" t="s">
        <v>118</v>
      </c>
      <c r="BI47" s="1">
        <v>0</v>
      </c>
      <c r="BJ47" s="1"/>
      <c r="BK47" s="1"/>
      <c r="BL47" s="1"/>
      <c r="BM47" s="1"/>
      <c r="BN47" s="1" t="s">
        <v>142</v>
      </c>
      <c r="BO47" s="1"/>
      <c r="BP47" s="1"/>
      <c r="BQ47" s="1"/>
      <c r="BR47" s="1" t="s">
        <v>131</v>
      </c>
      <c r="BS47" s="1"/>
      <c r="BT47" s="1"/>
      <c r="BU47" s="1" t="s">
        <v>602</v>
      </c>
      <c r="BV47" s="1" t="s">
        <v>205</v>
      </c>
      <c r="BW47" s="1" t="s">
        <v>603</v>
      </c>
      <c r="BX47" s="1" t="s">
        <v>125</v>
      </c>
      <c r="BY47" s="1" t="s">
        <v>126</v>
      </c>
      <c r="BZ47" s="1">
        <v>24</v>
      </c>
      <c r="CA47" s="1" t="s">
        <v>604</v>
      </c>
      <c r="CB47" s="1" t="s">
        <v>605</v>
      </c>
      <c r="CC47" s="1">
        <v>9276</v>
      </c>
      <c r="CD47" s="1" t="s">
        <v>164</v>
      </c>
      <c r="CE47" s="1" t="s">
        <v>606</v>
      </c>
      <c r="CF47" s="1"/>
      <c r="CG47" s="1"/>
      <c r="CH47" s="1"/>
      <c r="CI47" s="1" t="str">
        <f t="shared" si="2"/>
        <v>0</v>
      </c>
      <c r="CJ47" s="1"/>
      <c r="CK47" s="1"/>
      <c r="CL47" s="1" t="s">
        <v>131</v>
      </c>
      <c r="CM47" s="1"/>
      <c r="CN47" s="1" t="s">
        <v>132</v>
      </c>
      <c r="CO47" s="1" t="s">
        <v>118</v>
      </c>
    </row>
    <row r="48" spans="1:93" hidden="1" x14ac:dyDescent="0.3">
      <c r="A48" s="1">
        <v>2169626</v>
      </c>
      <c r="B48" s="1">
        <v>55931</v>
      </c>
      <c r="C48" s="1" t="str">
        <f>"821023450874"</f>
        <v>821023450874</v>
      </c>
      <c r="D48" s="1" t="s">
        <v>607</v>
      </c>
      <c r="E48" s="1" t="s">
        <v>196</v>
      </c>
      <c r="F48" s="1" t="s">
        <v>608</v>
      </c>
      <c r="G48" s="2">
        <v>30247</v>
      </c>
      <c r="H48" s="1"/>
      <c r="I48" s="1" t="s">
        <v>106</v>
      </c>
      <c r="J48" s="1" t="s">
        <v>107</v>
      </c>
      <c r="K48" s="1" t="s">
        <v>609</v>
      </c>
      <c r="L48" s="1"/>
      <c r="M48" s="1"/>
      <c r="N48" s="1"/>
      <c r="O48" s="1"/>
      <c r="P48" s="1" t="s">
        <v>109</v>
      </c>
      <c r="Q48" s="1" t="s">
        <v>136</v>
      </c>
      <c r="R48" s="1"/>
      <c r="S48" s="1"/>
      <c r="T48" s="1"/>
      <c r="U48" s="1"/>
      <c r="V48" s="1"/>
      <c r="W48" s="1" t="str">
        <f>"2021-04-06T00:00:00"</f>
        <v>2021-04-06T00:00:00</v>
      </c>
      <c r="X48" s="1" t="str">
        <f>"60"</f>
        <v>60</v>
      </c>
      <c r="Y48" s="1"/>
      <c r="Z48" s="1" t="s">
        <v>476</v>
      </c>
      <c r="AA48" s="1" t="s">
        <v>111</v>
      </c>
      <c r="AB48" s="1"/>
      <c r="AC48" s="1"/>
      <c r="AD48" s="1"/>
      <c r="AE48" s="1" t="s">
        <v>138</v>
      </c>
      <c r="AF48" s="1" t="s">
        <v>200</v>
      </c>
      <c r="AG48" s="1">
        <v>1.2</v>
      </c>
      <c r="AH48" s="1" t="s">
        <v>114</v>
      </c>
      <c r="AI48" s="1" t="s">
        <v>115</v>
      </c>
      <c r="AJ48" s="1" t="s">
        <v>116</v>
      </c>
      <c r="AK48" s="1"/>
      <c r="AL48" s="1"/>
      <c r="AM48" s="1"/>
      <c r="AN48" s="1" t="s">
        <v>117</v>
      </c>
      <c r="AO48" s="1" t="s">
        <v>118</v>
      </c>
      <c r="AP48" s="1" t="str">
        <f>"9"</f>
        <v>9</v>
      </c>
      <c r="AQ48" s="1" t="str">
        <f>"11"</f>
        <v>11</v>
      </c>
      <c r="AR48" s="1" t="str">
        <f>"7"</f>
        <v>7</v>
      </c>
      <c r="AS48" s="1" t="str">
        <f>"7"</f>
        <v>7</v>
      </c>
      <c r="AT48" s="1" t="str">
        <f>"2"</f>
        <v>2</v>
      </c>
      <c r="AU48" s="1" t="str">
        <f>"akm_tkachenko@mail.kz"</f>
        <v>akm_tkachenko@mail.kz</v>
      </c>
      <c r="AV48" s="1" t="str">
        <f>"87770386286"</f>
        <v>87770386286</v>
      </c>
      <c r="AW48" s="1" t="s">
        <v>119</v>
      </c>
      <c r="AX48" s="1"/>
      <c r="AY48" s="1"/>
      <c r="AZ48" s="1" t="s">
        <v>204</v>
      </c>
      <c r="BA48" s="1"/>
      <c r="BB48" s="1"/>
      <c r="BC48" s="1"/>
      <c r="BD48" s="1" t="s">
        <v>205</v>
      </c>
      <c r="BE48" s="1" t="s">
        <v>122</v>
      </c>
      <c r="BF48" s="1">
        <v>1.2</v>
      </c>
      <c r="BG48" s="1" t="str">
        <f>"[19]"</f>
        <v>[19]</v>
      </c>
      <c r="BH48" s="1" t="s">
        <v>118</v>
      </c>
      <c r="BI48" s="1">
        <v>0</v>
      </c>
      <c r="BJ48" s="1"/>
      <c r="BK48" s="1"/>
      <c r="BL48" s="1"/>
      <c r="BM48" s="1"/>
      <c r="BN48" s="1" t="s">
        <v>154</v>
      </c>
      <c r="BO48" s="1"/>
      <c r="BP48" s="1"/>
      <c r="BQ48" s="1"/>
      <c r="BR48" s="1" t="s">
        <v>131</v>
      </c>
      <c r="BS48" s="1"/>
      <c r="BT48" s="1"/>
      <c r="BU48" s="1" t="s">
        <v>450</v>
      </c>
      <c r="BV48" s="1" t="s">
        <v>205</v>
      </c>
      <c r="BW48" s="1" t="s">
        <v>610</v>
      </c>
      <c r="BX48" s="1" t="s">
        <v>125</v>
      </c>
      <c r="BY48" s="1" t="s">
        <v>341</v>
      </c>
      <c r="BZ48" s="1">
        <v>120</v>
      </c>
      <c r="CA48" s="1" t="s">
        <v>611</v>
      </c>
      <c r="CB48" s="1" t="s">
        <v>612</v>
      </c>
      <c r="CC48" s="1" t="s">
        <v>613</v>
      </c>
      <c r="CD48" s="1" t="s">
        <v>164</v>
      </c>
      <c r="CE48" s="1" t="s">
        <v>308</v>
      </c>
      <c r="CF48" s="3">
        <v>45383</v>
      </c>
      <c r="CG48" s="1"/>
      <c r="CH48" s="1"/>
      <c r="CI48" s="1" t="str">
        <f t="shared" si="2"/>
        <v>0</v>
      </c>
      <c r="CJ48" s="1" t="s">
        <v>136</v>
      </c>
      <c r="CK48" s="1"/>
      <c r="CL48" s="1" t="s">
        <v>131</v>
      </c>
      <c r="CM48" s="1"/>
      <c r="CN48" s="1" t="s">
        <v>132</v>
      </c>
      <c r="CO48" s="1" t="s">
        <v>194</v>
      </c>
    </row>
    <row r="49" spans="1:93" hidden="1" x14ac:dyDescent="0.3">
      <c r="A49" s="1">
        <v>2259372</v>
      </c>
      <c r="B49" s="1">
        <v>72318</v>
      </c>
      <c r="C49" s="1" t="str">
        <f>"961202450687"</f>
        <v>961202450687</v>
      </c>
      <c r="D49" s="1" t="s">
        <v>614</v>
      </c>
      <c r="E49" s="1" t="s">
        <v>615</v>
      </c>
      <c r="F49" s="1" t="s">
        <v>616</v>
      </c>
      <c r="G49" s="2">
        <v>35401</v>
      </c>
      <c r="H49" s="1"/>
      <c r="I49" s="1" t="s">
        <v>106</v>
      </c>
      <c r="J49" s="1" t="s">
        <v>107</v>
      </c>
      <c r="K49" s="1" t="s">
        <v>108</v>
      </c>
      <c r="L49" s="1"/>
      <c r="M49" s="1"/>
      <c r="N49" s="1"/>
      <c r="O49" s="1"/>
      <c r="P49" s="1" t="s">
        <v>109</v>
      </c>
      <c r="Q49" s="1" t="s">
        <v>136</v>
      </c>
      <c r="R49" s="1"/>
      <c r="S49" s="1"/>
      <c r="T49" s="1"/>
      <c r="U49" s="1"/>
      <c r="V49" s="1"/>
      <c r="W49" s="1" t="str">
        <f>"2021-08-26T00:00:00"</f>
        <v>2021-08-26T00:00:00</v>
      </c>
      <c r="X49" s="1" t="str">
        <f>"135"</f>
        <v>135</v>
      </c>
      <c r="Y49" s="1"/>
      <c r="Z49" s="1" t="s">
        <v>476</v>
      </c>
      <c r="AA49" s="1" t="s">
        <v>111</v>
      </c>
      <c r="AB49" s="1"/>
      <c r="AC49" s="1"/>
      <c r="AD49" s="1"/>
      <c r="AE49" s="1" t="s">
        <v>138</v>
      </c>
      <c r="AF49" s="1" t="s">
        <v>200</v>
      </c>
      <c r="AG49" s="1">
        <v>1.4</v>
      </c>
      <c r="AH49" s="1" t="s">
        <v>114</v>
      </c>
      <c r="AI49" s="1" t="s">
        <v>115</v>
      </c>
      <c r="AJ49" s="1" t="s">
        <v>116</v>
      </c>
      <c r="AK49" s="1"/>
      <c r="AL49" s="1"/>
      <c r="AM49" s="1"/>
      <c r="AN49" s="1" t="s">
        <v>117</v>
      </c>
      <c r="AO49" s="1" t="s">
        <v>118</v>
      </c>
      <c r="AP49" s="1" t="str">
        <f>"2"</f>
        <v>2</v>
      </c>
      <c r="AQ49" s="1" t="str">
        <f>"4"</f>
        <v>4</v>
      </c>
      <c r="AR49" s="1" t="str">
        <f>"4"</f>
        <v>4</v>
      </c>
      <c r="AS49" s="1" t="str">
        <f>"4"</f>
        <v>4</v>
      </c>
      <c r="AT49" s="1" t="str">
        <f>"2"</f>
        <v>2</v>
      </c>
      <c r="AU49" s="1" t="str">
        <f>"kakenova_sabina01@mail.ru"</f>
        <v>kakenova_sabina01@mail.ru</v>
      </c>
      <c r="AV49" s="1" t="str">
        <f>"87471686211"</f>
        <v>87471686211</v>
      </c>
      <c r="AW49" s="1" t="s">
        <v>152</v>
      </c>
      <c r="AX49" s="1" t="s">
        <v>221</v>
      </c>
      <c r="AY49" s="1"/>
      <c r="AZ49" s="1" t="s">
        <v>183</v>
      </c>
      <c r="BA49" s="1"/>
      <c r="BB49" s="1"/>
      <c r="BC49" s="1"/>
      <c r="BD49" s="1" t="s">
        <v>205</v>
      </c>
      <c r="BE49" s="1" t="s">
        <v>122</v>
      </c>
      <c r="BF49" s="1">
        <v>1.4</v>
      </c>
      <c r="BG49" s="1" t="str">
        <f>"[23]"</f>
        <v>[23]</v>
      </c>
      <c r="BH49" s="1" t="s">
        <v>118</v>
      </c>
      <c r="BI49" s="1">
        <v>0</v>
      </c>
      <c r="BJ49" s="1"/>
      <c r="BK49" s="1"/>
      <c r="BL49" s="1"/>
      <c r="BM49" s="1"/>
      <c r="BN49" s="1" t="s">
        <v>154</v>
      </c>
      <c r="BO49" s="1"/>
      <c r="BP49" s="1"/>
      <c r="BQ49" s="1"/>
      <c r="BR49" s="1" t="s">
        <v>131</v>
      </c>
      <c r="BS49" s="1"/>
      <c r="BT49" s="1"/>
      <c r="BU49" s="1" t="s">
        <v>522</v>
      </c>
      <c r="BV49" s="1" t="s">
        <v>617</v>
      </c>
      <c r="BW49" s="1" t="s">
        <v>618</v>
      </c>
      <c r="BX49" s="1" t="s">
        <v>317</v>
      </c>
      <c r="BY49" s="1" t="s">
        <v>619</v>
      </c>
      <c r="BZ49" s="1" t="s">
        <v>620</v>
      </c>
      <c r="CA49" s="1" t="s">
        <v>621</v>
      </c>
      <c r="CB49" s="1" t="s">
        <v>622</v>
      </c>
      <c r="CC49" s="1" t="s">
        <v>623</v>
      </c>
      <c r="CD49" s="1" t="s">
        <v>164</v>
      </c>
      <c r="CE49" s="1" t="s">
        <v>308</v>
      </c>
      <c r="CF49" s="3">
        <v>45383</v>
      </c>
      <c r="CG49" s="1"/>
      <c r="CH49" s="1"/>
      <c r="CI49" s="1" t="str">
        <f t="shared" si="2"/>
        <v>0</v>
      </c>
      <c r="CJ49" s="1"/>
      <c r="CK49" s="1"/>
      <c r="CL49" s="1" t="s">
        <v>131</v>
      </c>
      <c r="CM49" s="1"/>
      <c r="CN49" s="1" t="s">
        <v>132</v>
      </c>
      <c r="CO49" s="1" t="s">
        <v>118</v>
      </c>
    </row>
    <row r="50" spans="1:93" hidden="1" x14ac:dyDescent="0.3">
      <c r="A50" s="1">
        <v>2259464</v>
      </c>
      <c r="B50" s="1">
        <v>73464</v>
      </c>
      <c r="C50" s="1" t="str">
        <f>"701216350042"</f>
        <v>701216350042</v>
      </c>
      <c r="D50" s="1" t="s">
        <v>624</v>
      </c>
      <c r="E50" s="1" t="s">
        <v>576</v>
      </c>
      <c r="F50" s="1" t="s">
        <v>625</v>
      </c>
      <c r="G50" s="2">
        <v>25918</v>
      </c>
      <c r="H50" s="1"/>
      <c r="I50" s="1" t="s">
        <v>496</v>
      </c>
      <c r="J50" s="1" t="s">
        <v>107</v>
      </c>
      <c r="K50" s="1" t="s">
        <v>108</v>
      </c>
      <c r="L50" s="1"/>
      <c r="M50" s="1"/>
      <c r="N50" s="1"/>
      <c r="O50" s="1"/>
      <c r="P50" s="1" t="s">
        <v>497</v>
      </c>
      <c r="Q50" s="1" t="s">
        <v>136</v>
      </c>
      <c r="R50" s="1"/>
      <c r="S50" s="1"/>
      <c r="T50" s="1"/>
      <c r="U50" s="1"/>
      <c r="V50" s="1"/>
      <c r="W50" s="1" t="str">
        <f>"2021-08-26T00:00:00"</f>
        <v>2021-08-26T00:00:00</v>
      </c>
      <c r="X50" s="1" t="str">
        <f>"136"</f>
        <v>136</v>
      </c>
      <c r="Y50" s="1"/>
      <c r="Z50" s="1" t="s">
        <v>137</v>
      </c>
      <c r="AA50" s="1" t="s">
        <v>111</v>
      </c>
      <c r="AB50" s="1"/>
      <c r="AC50" s="1"/>
      <c r="AD50" s="1"/>
      <c r="AE50" s="1" t="s">
        <v>138</v>
      </c>
      <c r="AF50" s="1" t="s">
        <v>113</v>
      </c>
      <c r="AG50" s="1">
        <v>1</v>
      </c>
      <c r="AH50" s="1" t="s">
        <v>114</v>
      </c>
      <c r="AI50" s="1" t="s">
        <v>115</v>
      </c>
      <c r="AJ50" s="1" t="s">
        <v>116</v>
      </c>
      <c r="AK50" s="1"/>
      <c r="AL50" s="1"/>
      <c r="AM50" s="1"/>
      <c r="AN50" s="1" t="s">
        <v>117</v>
      </c>
      <c r="AO50" s="1" t="s">
        <v>118</v>
      </c>
      <c r="AP50" s="1" t="str">
        <f>"25"</f>
        <v>25</v>
      </c>
      <c r="AQ50" s="1" t="str">
        <f>"27"</f>
        <v>27</v>
      </c>
      <c r="AR50" s="1" t="str">
        <f>"27"</f>
        <v>27</v>
      </c>
      <c r="AS50" s="1" t="str">
        <f>"27"</f>
        <v>27</v>
      </c>
      <c r="AT50" s="1" t="str">
        <f>"2"</f>
        <v>2</v>
      </c>
      <c r="AU50" s="1" t="str">
        <f>"battalov-k70@mail.ru"</f>
        <v>battalov-k70@mail.ru</v>
      </c>
      <c r="AV50" s="1" t="str">
        <f>"87056367764"</f>
        <v>87056367764</v>
      </c>
      <c r="AW50" s="1" t="s">
        <v>152</v>
      </c>
      <c r="AX50" s="1" t="s">
        <v>140</v>
      </c>
      <c r="AY50" s="1"/>
      <c r="AZ50" s="1" t="s">
        <v>120</v>
      </c>
      <c r="BA50" s="1"/>
      <c r="BB50" s="1"/>
      <c r="BC50" s="1"/>
      <c r="BD50" s="1" t="s">
        <v>327</v>
      </c>
      <c r="BE50" s="1" t="s">
        <v>122</v>
      </c>
      <c r="BF50" s="1">
        <v>1</v>
      </c>
      <c r="BG50" s="1" t="str">
        <f>"[16]"</f>
        <v>[16]</v>
      </c>
      <c r="BH50" s="1" t="s">
        <v>113</v>
      </c>
      <c r="BI50" s="1">
        <v>0.5</v>
      </c>
      <c r="BJ50" s="1" t="s">
        <v>578</v>
      </c>
      <c r="BK50" s="1" t="s">
        <v>202</v>
      </c>
      <c r="BL50" s="1" t="s">
        <v>313</v>
      </c>
      <c r="BM50" s="1">
        <v>0.5</v>
      </c>
      <c r="BN50" s="1" t="s">
        <v>154</v>
      </c>
      <c r="BO50" s="1"/>
      <c r="BP50" s="1"/>
      <c r="BQ50" s="1"/>
      <c r="BR50" s="1" t="s">
        <v>131</v>
      </c>
      <c r="BS50" s="1"/>
      <c r="BT50" s="1"/>
      <c r="BU50" s="1" t="s">
        <v>626</v>
      </c>
      <c r="BV50" s="1" t="s">
        <v>627</v>
      </c>
      <c r="BW50" s="1" t="s">
        <v>628</v>
      </c>
      <c r="BX50" s="1" t="s">
        <v>629</v>
      </c>
      <c r="BY50" s="1" t="s">
        <v>630</v>
      </c>
      <c r="BZ50" s="1" t="s">
        <v>631</v>
      </c>
      <c r="CA50" s="1" t="s">
        <v>632</v>
      </c>
      <c r="CB50" s="1" t="s">
        <v>633</v>
      </c>
      <c r="CC50" s="1" t="s">
        <v>634</v>
      </c>
      <c r="CD50" s="1" t="s">
        <v>327</v>
      </c>
      <c r="CE50" s="1" t="s">
        <v>635</v>
      </c>
      <c r="CF50" s="1" t="s">
        <v>146</v>
      </c>
      <c r="CG50" s="1"/>
      <c r="CH50" s="1"/>
      <c r="CI50" s="1" t="str">
        <f t="shared" si="2"/>
        <v>0</v>
      </c>
      <c r="CJ50" s="1" t="s">
        <v>136</v>
      </c>
      <c r="CK50" s="1"/>
      <c r="CL50" s="1" t="s">
        <v>136</v>
      </c>
      <c r="CM50" s="1"/>
      <c r="CN50" s="1" t="s">
        <v>132</v>
      </c>
      <c r="CO50" s="1" t="s">
        <v>118</v>
      </c>
    </row>
    <row r="51" spans="1:93" hidden="1" x14ac:dyDescent="0.3">
      <c r="A51" s="1">
        <v>2259541</v>
      </c>
      <c r="B51" s="1">
        <v>1549043</v>
      </c>
      <c r="C51" s="1" t="str">
        <f>"920204450320"</f>
        <v>920204450320</v>
      </c>
      <c r="D51" s="1" t="s">
        <v>636</v>
      </c>
      <c r="E51" s="1" t="s">
        <v>637</v>
      </c>
      <c r="F51" s="1" t="s">
        <v>253</v>
      </c>
      <c r="G51" s="2">
        <v>33638</v>
      </c>
      <c r="H51" s="1"/>
      <c r="I51" s="1" t="s">
        <v>106</v>
      </c>
      <c r="J51" s="1" t="s">
        <v>107</v>
      </c>
      <c r="K51" s="1" t="s">
        <v>198</v>
      </c>
      <c r="L51" s="1"/>
      <c r="M51" s="1"/>
      <c r="N51" s="1"/>
      <c r="O51" s="1"/>
      <c r="P51" s="1" t="s">
        <v>109</v>
      </c>
      <c r="Q51" s="1" t="s">
        <v>136</v>
      </c>
      <c r="R51" s="1"/>
      <c r="S51" s="1"/>
      <c r="T51" s="1"/>
      <c r="U51" s="1"/>
      <c r="V51" s="1"/>
      <c r="W51" s="1" t="str">
        <f>"2021-08-26T00:00:00"</f>
        <v>2021-08-26T00:00:00</v>
      </c>
      <c r="X51" s="1" t="str">
        <f>"137"</f>
        <v>137</v>
      </c>
      <c r="Y51" s="1"/>
      <c r="Z51" s="1" t="s">
        <v>199</v>
      </c>
      <c r="AA51" s="1" t="s">
        <v>111</v>
      </c>
      <c r="AB51" s="1"/>
      <c r="AC51" s="1"/>
      <c r="AD51" s="1"/>
      <c r="AE51" s="1" t="s">
        <v>138</v>
      </c>
      <c r="AF51" s="1" t="s">
        <v>601</v>
      </c>
      <c r="AG51" s="1">
        <v>1.1000000000000001</v>
      </c>
      <c r="AH51" s="1" t="s">
        <v>114</v>
      </c>
      <c r="AI51" s="1" t="s">
        <v>115</v>
      </c>
      <c r="AJ51" s="1" t="s">
        <v>201</v>
      </c>
      <c r="AK51" s="1"/>
      <c r="AL51" s="1"/>
      <c r="AM51" s="1"/>
      <c r="AN51" s="1" t="s">
        <v>117</v>
      </c>
      <c r="AO51" s="1" t="s">
        <v>118</v>
      </c>
      <c r="AP51" s="1" t="str">
        <f>"4"</f>
        <v>4</v>
      </c>
      <c r="AQ51" s="1" t="str">
        <f>"6"</f>
        <v>6</v>
      </c>
      <c r="AR51" s="1" t="str">
        <f>"2"</f>
        <v>2</v>
      </c>
      <c r="AS51" s="1" t="str">
        <f>"2"</f>
        <v>2</v>
      </c>
      <c r="AT51" s="1" t="str">
        <f>"2"</f>
        <v>2</v>
      </c>
      <c r="AU51" s="1" t="str">
        <f>"mari_04@list.ru"</f>
        <v>mari_04@list.ru</v>
      </c>
      <c r="AV51" s="1" t="str">
        <f>"87012417065"</f>
        <v>87012417065</v>
      </c>
      <c r="AW51" s="1" t="s">
        <v>119</v>
      </c>
      <c r="AX51" s="1"/>
      <c r="AY51" s="1"/>
      <c r="AZ51" s="1" t="s">
        <v>204</v>
      </c>
      <c r="BA51" s="1"/>
      <c r="BB51" s="1"/>
      <c r="BC51" s="1"/>
      <c r="BD51" s="1"/>
      <c r="BE51" s="1"/>
      <c r="BF51" s="1"/>
      <c r="BG51" s="1"/>
      <c r="BH51" s="1" t="s">
        <v>200</v>
      </c>
      <c r="BI51" s="1">
        <v>0.5</v>
      </c>
      <c r="BJ51" s="1" t="s">
        <v>119</v>
      </c>
      <c r="BK51" s="1"/>
      <c r="BL51" s="1" t="s">
        <v>205</v>
      </c>
      <c r="BM51" s="1">
        <v>0.5</v>
      </c>
      <c r="BN51" s="1" t="s">
        <v>154</v>
      </c>
      <c r="BO51" s="1"/>
      <c r="BP51" s="1"/>
      <c r="BQ51" s="1"/>
      <c r="BR51" s="1" t="s">
        <v>131</v>
      </c>
      <c r="BS51" s="1"/>
      <c r="BT51" s="1"/>
      <c r="BU51" s="1" t="s">
        <v>535</v>
      </c>
      <c r="BV51" s="1"/>
      <c r="BW51" s="1"/>
      <c r="BX51" s="1"/>
      <c r="BY51" s="1"/>
      <c r="BZ51" s="1"/>
      <c r="CA51" s="1"/>
      <c r="CB51" s="1"/>
      <c r="CC51" s="1"/>
      <c r="CD51" s="1" t="s">
        <v>164</v>
      </c>
      <c r="CE51" s="1" t="s">
        <v>638</v>
      </c>
      <c r="CF51" s="3">
        <v>45383</v>
      </c>
      <c r="CG51" s="1"/>
      <c r="CH51" s="1"/>
      <c r="CI51" s="1" t="str">
        <f t="shared" si="2"/>
        <v>0</v>
      </c>
      <c r="CJ51" s="1"/>
      <c r="CK51" s="1"/>
      <c r="CL51" s="1" t="s">
        <v>131</v>
      </c>
      <c r="CM51" s="1"/>
      <c r="CN51" s="1" t="s">
        <v>132</v>
      </c>
      <c r="CO51" s="1" t="s">
        <v>118</v>
      </c>
    </row>
    <row r="52" spans="1:93" x14ac:dyDescent="0.3">
      <c r="A52" s="1">
        <v>2406140</v>
      </c>
      <c r="B52" s="1">
        <v>1615521</v>
      </c>
      <c r="C52" s="1" t="str">
        <f>"870930050152"</f>
        <v>870930050152</v>
      </c>
      <c r="D52" s="1" t="s">
        <v>639</v>
      </c>
      <c r="E52" s="1" t="s">
        <v>640</v>
      </c>
      <c r="F52" s="1" t="s">
        <v>641</v>
      </c>
      <c r="G52" s="2">
        <v>32050</v>
      </c>
      <c r="H52" s="1"/>
      <c r="I52" s="1" t="s">
        <v>106</v>
      </c>
      <c r="J52" s="1" t="s">
        <v>642</v>
      </c>
      <c r="K52" s="1" t="s">
        <v>643</v>
      </c>
      <c r="L52" s="1"/>
      <c r="M52" s="1"/>
      <c r="N52" s="1"/>
      <c r="O52" s="1"/>
      <c r="P52" s="1" t="s">
        <v>109</v>
      </c>
      <c r="Q52" s="1" t="s">
        <v>136</v>
      </c>
      <c r="R52" s="1"/>
      <c r="S52" s="1"/>
      <c r="T52" s="1"/>
      <c r="U52" s="1"/>
      <c r="V52" s="1"/>
      <c r="W52" s="1" t="str">
        <f>"2022-02-07T00:00:00"</f>
        <v>2022-02-07T00:00:00</v>
      </c>
      <c r="X52" s="1" t="str">
        <f>"8"</f>
        <v>8</v>
      </c>
      <c r="Y52" s="1"/>
      <c r="Z52" s="1" t="s">
        <v>488</v>
      </c>
      <c r="AA52" s="1" t="s">
        <v>111</v>
      </c>
      <c r="AB52" s="1"/>
      <c r="AC52" s="1"/>
      <c r="AD52" s="1"/>
      <c r="AE52" s="1" t="s">
        <v>138</v>
      </c>
      <c r="AF52" s="1" t="s">
        <v>440</v>
      </c>
      <c r="AG52" s="1">
        <v>1.5</v>
      </c>
      <c r="AH52" s="1" t="s">
        <v>114</v>
      </c>
      <c r="AI52" s="1" t="s">
        <v>115</v>
      </c>
      <c r="AJ52" s="1" t="s">
        <v>446</v>
      </c>
      <c r="AK52" s="1"/>
      <c r="AL52" s="1"/>
      <c r="AM52" s="1"/>
      <c r="AN52" s="1" t="s">
        <v>442</v>
      </c>
      <c r="AO52" s="1"/>
      <c r="AP52" s="1" t="str">
        <f>"6"</f>
        <v>6</v>
      </c>
      <c r="AQ52" s="1" t="str">
        <f>"8"</f>
        <v>8</v>
      </c>
      <c r="AR52" s="1"/>
      <c r="AS52" s="1" t="str">
        <f>"0"</f>
        <v>0</v>
      </c>
      <c r="AT52" s="1" t="str">
        <f>"2"</f>
        <v>2</v>
      </c>
      <c r="AU52" s="1"/>
      <c r="AV52" s="1"/>
      <c r="AW52" s="1"/>
      <c r="AX52" s="1"/>
      <c r="AY52" s="1"/>
      <c r="AZ52" s="1"/>
      <c r="BA52" s="1"/>
      <c r="BB52" s="1"/>
      <c r="BC52" s="1"/>
      <c r="BD52" s="1"/>
      <c r="BE52" s="1"/>
      <c r="BF52" s="1"/>
      <c r="BG52" s="1"/>
      <c r="BH52" s="1" t="s">
        <v>118</v>
      </c>
      <c r="BI52" s="1">
        <v>0</v>
      </c>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row>
    <row r="53" spans="1:93" hidden="1" x14ac:dyDescent="0.3">
      <c r="A53" s="1">
        <v>2409871</v>
      </c>
      <c r="B53" s="1">
        <v>1617334</v>
      </c>
      <c r="C53" s="1" t="str">
        <f>"940213401404"</f>
        <v>940213401404</v>
      </c>
      <c r="D53" s="1" t="s">
        <v>644</v>
      </c>
      <c r="E53" s="1" t="s">
        <v>645</v>
      </c>
      <c r="F53" s="1" t="s">
        <v>646</v>
      </c>
      <c r="G53" s="2">
        <v>34378</v>
      </c>
      <c r="H53" s="1"/>
      <c r="I53" s="1" t="s">
        <v>106</v>
      </c>
      <c r="J53" s="1" t="s">
        <v>107</v>
      </c>
      <c r="K53" s="1" t="s">
        <v>108</v>
      </c>
      <c r="L53" s="1"/>
      <c r="M53" s="1"/>
      <c r="N53" s="1"/>
      <c r="O53" s="1"/>
      <c r="P53" s="1" t="s">
        <v>109</v>
      </c>
      <c r="Q53" s="1" t="s">
        <v>136</v>
      </c>
      <c r="R53" s="1"/>
      <c r="S53" s="1"/>
      <c r="T53" s="1"/>
      <c r="U53" s="1"/>
      <c r="V53" s="1"/>
      <c r="W53" s="1" t="str">
        <f>"2022-08-31T00:00:00"</f>
        <v>2022-08-31T00:00:00</v>
      </c>
      <c r="X53" s="1" t="str">
        <f>"134"</f>
        <v>134</v>
      </c>
      <c r="Y53" s="1"/>
      <c r="Z53" s="1" t="s">
        <v>488</v>
      </c>
      <c r="AA53" s="1" t="s">
        <v>111</v>
      </c>
      <c r="AB53" s="1"/>
      <c r="AC53" s="1"/>
      <c r="AD53" s="1"/>
      <c r="AE53" s="1" t="s">
        <v>138</v>
      </c>
      <c r="AF53" s="1" t="s">
        <v>113</v>
      </c>
      <c r="AG53" s="1">
        <v>1.5</v>
      </c>
      <c r="AH53" s="1" t="s">
        <v>114</v>
      </c>
      <c r="AI53" s="1" t="s">
        <v>115</v>
      </c>
      <c r="AJ53" s="1" t="s">
        <v>201</v>
      </c>
      <c r="AK53" s="1" t="s">
        <v>136</v>
      </c>
      <c r="AL53" s="1"/>
      <c r="AM53" s="1"/>
      <c r="AN53" s="1" t="s">
        <v>117</v>
      </c>
      <c r="AO53" s="1" t="s">
        <v>118</v>
      </c>
      <c r="AP53" s="1" t="str">
        <f>"1"</f>
        <v>1</v>
      </c>
      <c r="AQ53" s="1" t="str">
        <f>"2"</f>
        <v>2</v>
      </c>
      <c r="AR53" s="1" t="str">
        <f t="shared" ref="AR53:AT55" si="3">"1"</f>
        <v>1</v>
      </c>
      <c r="AS53" s="1" t="str">
        <f t="shared" si="3"/>
        <v>1</v>
      </c>
      <c r="AT53" s="1" t="str">
        <f t="shared" si="3"/>
        <v>1</v>
      </c>
      <c r="AU53" s="1" t="str">
        <f>"Nurbaeva1302@list.ru"</f>
        <v>Nurbaeva1302@list.ru</v>
      </c>
      <c r="AV53" s="1" t="str">
        <f>"87057837005"</f>
        <v>87057837005</v>
      </c>
      <c r="AW53" s="1" t="s">
        <v>119</v>
      </c>
      <c r="AX53" s="1"/>
      <c r="AY53" s="1"/>
      <c r="AZ53" s="1" t="s">
        <v>183</v>
      </c>
      <c r="BA53" s="1"/>
      <c r="BB53" s="1"/>
      <c r="BC53" s="1"/>
      <c r="BD53" s="1" t="s">
        <v>394</v>
      </c>
      <c r="BE53" s="1" t="s">
        <v>206</v>
      </c>
      <c r="BF53" s="1">
        <v>1.5</v>
      </c>
      <c r="BG53" s="1" t="str">
        <f>"[24]"</f>
        <v>[24]</v>
      </c>
      <c r="BH53" s="1" t="s">
        <v>118</v>
      </c>
      <c r="BI53" s="1">
        <v>0</v>
      </c>
      <c r="BJ53" s="1"/>
      <c r="BK53" s="1"/>
      <c r="BL53" s="1"/>
      <c r="BM53" s="1"/>
      <c r="BN53" s="1" t="s">
        <v>154</v>
      </c>
      <c r="BO53" s="1"/>
      <c r="BP53" s="1"/>
      <c r="BQ53" s="1"/>
      <c r="BR53" s="1" t="s">
        <v>131</v>
      </c>
      <c r="BS53" s="1"/>
      <c r="BT53" s="1"/>
      <c r="BU53" s="1" t="s">
        <v>535</v>
      </c>
      <c r="BV53" s="1"/>
      <c r="BW53" s="1"/>
      <c r="BX53" s="1"/>
      <c r="BY53" s="1"/>
      <c r="BZ53" s="1"/>
      <c r="CA53" s="1"/>
      <c r="CB53" s="1"/>
      <c r="CC53" s="1"/>
      <c r="CD53" s="1" t="s">
        <v>164</v>
      </c>
      <c r="CE53" s="1" t="s">
        <v>647</v>
      </c>
      <c r="CF53" s="1" t="s">
        <v>146</v>
      </c>
      <c r="CG53" s="1"/>
      <c r="CH53" s="1"/>
      <c r="CI53" s="1" t="str">
        <f t="shared" ref="CI53:CI59" si="4">"0"</f>
        <v>0</v>
      </c>
      <c r="CJ53" s="1"/>
      <c r="CK53" s="1"/>
      <c r="CL53" s="1" t="s">
        <v>131</v>
      </c>
      <c r="CM53" s="1"/>
      <c r="CN53" s="1" t="s">
        <v>132</v>
      </c>
      <c r="CO53" s="1" t="s">
        <v>194</v>
      </c>
    </row>
    <row r="54" spans="1:93" hidden="1" x14ac:dyDescent="0.3">
      <c r="A54" s="1">
        <v>2549896</v>
      </c>
      <c r="B54" s="1">
        <v>1671660</v>
      </c>
      <c r="C54" s="1" t="str">
        <f>"030101651503"</f>
        <v>030101651503</v>
      </c>
      <c r="D54" s="1" t="s">
        <v>648</v>
      </c>
      <c r="E54" s="1" t="s">
        <v>649</v>
      </c>
      <c r="F54" s="1" t="s">
        <v>650</v>
      </c>
      <c r="G54" s="2">
        <v>37622</v>
      </c>
      <c r="H54" s="1"/>
      <c r="I54" s="1" t="s">
        <v>106</v>
      </c>
      <c r="J54" s="1" t="s">
        <v>107</v>
      </c>
      <c r="K54" s="1" t="s">
        <v>108</v>
      </c>
      <c r="L54" s="1"/>
      <c r="M54" s="1"/>
      <c r="N54" s="1"/>
      <c r="O54" s="1"/>
      <c r="P54" s="1" t="s">
        <v>109</v>
      </c>
      <c r="Q54" s="1" t="s">
        <v>136</v>
      </c>
      <c r="R54" s="1"/>
      <c r="S54" s="1"/>
      <c r="T54" s="1"/>
      <c r="U54" s="1"/>
      <c r="V54" s="1"/>
      <c r="W54" s="1" t="str">
        <f>"2022-08-16T00:00:00"</f>
        <v>2022-08-16T00:00:00</v>
      </c>
      <c r="X54" s="1" t="str">
        <f>"114"</f>
        <v>114</v>
      </c>
      <c r="Y54" s="1"/>
      <c r="Z54" s="1" t="s">
        <v>199</v>
      </c>
      <c r="AA54" s="1" t="s">
        <v>111</v>
      </c>
      <c r="AB54" s="1"/>
      <c r="AC54" s="1"/>
      <c r="AD54" s="1"/>
      <c r="AE54" s="1" t="s">
        <v>138</v>
      </c>
      <c r="AF54" s="1" t="s">
        <v>113</v>
      </c>
      <c r="AG54" s="1">
        <v>1.4</v>
      </c>
      <c r="AH54" s="1" t="s">
        <v>114</v>
      </c>
      <c r="AI54" s="1" t="s">
        <v>115</v>
      </c>
      <c r="AJ54" s="1" t="s">
        <v>201</v>
      </c>
      <c r="AK54" s="1"/>
      <c r="AL54" s="1"/>
      <c r="AM54" s="1"/>
      <c r="AN54" s="1" t="s">
        <v>117</v>
      </c>
      <c r="AO54" s="1" t="s">
        <v>118</v>
      </c>
      <c r="AP54" s="1" t="str">
        <f>"0"</f>
        <v>0</v>
      </c>
      <c r="AQ54" s="1" t="str">
        <f>"1"</f>
        <v>1</v>
      </c>
      <c r="AR54" s="1" t="str">
        <f t="shared" si="3"/>
        <v>1</v>
      </c>
      <c r="AS54" s="1" t="str">
        <f t="shared" si="3"/>
        <v>1</v>
      </c>
      <c r="AT54" s="1" t="str">
        <f t="shared" si="3"/>
        <v>1</v>
      </c>
      <c r="AU54" s="1" t="str">
        <f>"bessembaeva2003@gmail.com"</f>
        <v>bessembaeva2003@gmail.com</v>
      </c>
      <c r="AV54" s="1" t="str">
        <f>"87779027515"</f>
        <v>87779027515</v>
      </c>
      <c r="AW54" s="1" t="s">
        <v>119</v>
      </c>
      <c r="AX54" s="1"/>
      <c r="AY54" s="1"/>
      <c r="AZ54" s="1" t="s">
        <v>204</v>
      </c>
      <c r="BA54" s="1"/>
      <c r="BB54" s="1"/>
      <c r="BC54" s="1"/>
      <c r="BD54" s="1" t="s">
        <v>184</v>
      </c>
      <c r="BE54" s="1" t="s">
        <v>206</v>
      </c>
      <c r="BF54" s="1">
        <v>1.4</v>
      </c>
      <c r="BG54" s="1" t="str">
        <f>"[23]"</f>
        <v>[23]</v>
      </c>
      <c r="BH54" s="1" t="s">
        <v>118</v>
      </c>
      <c r="BI54" s="1">
        <v>0</v>
      </c>
      <c r="BJ54" s="1"/>
      <c r="BK54" s="1"/>
      <c r="BL54" s="1"/>
      <c r="BM54" s="1"/>
      <c r="BN54" s="1" t="s">
        <v>154</v>
      </c>
      <c r="BO54" s="1"/>
      <c r="BP54" s="1"/>
      <c r="BQ54" s="1"/>
      <c r="BR54" s="1" t="s">
        <v>131</v>
      </c>
      <c r="BS54" s="1"/>
      <c r="BT54" s="1"/>
      <c r="BU54" s="1" t="s">
        <v>535</v>
      </c>
      <c r="BV54" s="1"/>
      <c r="BW54" s="1"/>
      <c r="BX54" s="1"/>
      <c r="BY54" s="1"/>
      <c r="BZ54" s="1"/>
      <c r="CA54" s="1"/>
      <c r="CB54" s="1"/>
      <c r="CC54" s="1"/>
      <c r="CD54" s="1" t="s">
        <v>164</v>
      </c>
      <c r="CE54" s="1" t="s">
        <v>651</v>
      </c>
      <c r="CF54" s="1" t="s">
        <v>146</v>
      </c>
      <c r="CG54" s="1"/>
      <c r="CH54" s="1"/>
      <c r="CI54" s="1" t="str">
        <f t="shared" si="4"/>
        <v>0</v>
      </c>
      <c r="CJ54" s="1"/>
      <c r="CK54" s="1"/>
      <c r="CL54" s="1" t="s">
        <v>131</v>
      </c>
      <c r="CM54" s="1"/>
      <c r="CN54" s="1" t="s">
        <v>193</v>
      </c>
      <c r="CO54" s="1" t="s">
        <v>118</v>
      </c>
    </row>
    <row r="55" spans="1:93" hidden="1" x14ac:dyDescent="0.3">
      <c r="A55" s="1">
        <v>2549917</v>
      </c>
      <c r="B55" s="1">
        <v>1671666</v>
      </c>
      <c r="C55" s="1" t="str">
        <f>"000621651585"</f>
        <v>000621651585</v>
      </c>
      <c r="D55" s="1" t="s">
        <v>652</v>
      </c>
      <c r="E55" s="1" t="s">
        <v>653</v>
      </c>
      <c r="F55" s="1" t="s">
        <v>654</v>
      </c>
      <c r="G55" s="2">
        <v>36698</v>
      </c>
      <c r="H55" s="1"/>
      <c r="I55" s="1" t="s">
        <v>106</v>
      </c>
      <c r="J55" s="1" t="s">
        <v>107</v>
      </c>
      <c r="K55" s="1" t="s">
        <v>108</v>
      </c>
      <c r="L55" s="1"/>
      <c r="M55" s="1"/>
      <c r="N55" s="1"/>
      <c r="O55" s="1"/>
      <c r="P55" s="1" t="s">
        <v>109</v>
      </c>
      <c r="Q55" s="1" t="s">
        <v>136</v>
      </c>
      <c r="R55" s="1"/>
      <c r="S55" s="1"/>
      <c r="T55" s="1"/>
      <c r="U55" s="1"/>
      <c r="V55" s="1"/>
      <c r="W55" s="1" t="str">
        <f>"2022-08-26T00:00:00"</f>
        <v>2022-08-26T00:00:00</v>
      </c>
      <c r="X55" s="1" t="str">
        <f>"130"</f>
        <v>130</v>
      </c>
      <c r="Y55" s="1"/>
      <c r="Z55" s="1" t="s">
        <v>168</v>
      </c>
      <c r="AA55" s="1" t="s">
        <v>111</v>
      </c>
      <c r="AB55" s="1"/>
      <c r="AC55" s="1"/>
      <c r="AD55" s="1"/>
      <c r="AE55" s="1" t="s">
        <v>138</v>
      </c>
      <c r="AF55" s="1" t="s">
        <v>113</v>
      </c>
      <c r="AG55" s="1">
        <v>1.5</v>
      </c>
      <c r="AH55" s="1" t="s">
        <v>114</v>
      </c>
      <c r="AI55" s="1" t="s">
        <v>115</v>
      </c>
      <c r="AJ55" s="1" t="s">
        <v>116</v>
      </c>
      <c r="AK55" s="1"/>
      <c r="AL55" s="1"/>
      <c r="AM55" s="1"/>
      <c r="AN55" s="1" t="s">
        <v>117</v>
      </c>
      <c r="AO55" s="1" t="s">
        <v>118</v>
      </c>
      <c r="AP55" s="1" t="str">
        <f>"0"</f>
        <v>0</v>
      </c>
      <c r="AQ55" s="1" t="str">
        <f>"1"</f>
        <v>1</v>
      </c>
      <c r="AR55" s="1" t="str">
        <f t="shared" si="3"/>
        <v>1</v>
      </c>
      <c r="AS55" s="1" t="str">
        <f t="shared" si="3"/>
        <v>1</v>
      </c>
      <c r="AT55" s="1" t="str">
        <f t="shared" si="3"/>
        <v>1</v>
      </c>
      <c r="AU55" s="1" t="str">
        <f>"dianaramazanovaaaa@mail.ru"</f>
        <v>dianaramazanovaaaa@mail.ru</v>
      </c>
      <c r="AV55" s="1" t="str">
        <f>"87750905639"</f>
        <v>87750905639</v>
      </c>
      <c r="AW55" s="1" t="s">
        <v>119</v>
      </c>
      <c r="AX55" s="1"/>
      <c r="AY55" s="1"/>
      <c r="AZ55" s="1" t="s">
        <v>204</v>
      </c>
      <c r="BA55" s="1"/>
      <c r="BB55" s="1"/>
      <c r="BC55" s="1"/>
      <c r="BD55" s="1" t="s">
        <v>501</v>
      </c>
      <c r="BE55" s="1" t="s">
        <v>122</v>
      </c>
      <c r="BF55" s="1">
        <v>1.5</v>
      </c>
      <c r="BG55" s="1" t="str">
        <f>"[23]"</f>
        <v>[23]</v>
      </c>
      <c r="BH55" s="1" t="s">
        <v>118</v>
      </c>
      <c r="BI55" s="1">
        <v>0</v>
      </c>
      <c r="BJ55" s="1"/>
      <c r="BK55" s="1"/>
      <c r="BL55" s="1"/>
      <c r="BM55" s="1"/>
      <c r="BN55" s="1" t="s">
        <v>154</v>
      </c>
      <c r="BO55" s="1"/>
      <c r="BP55" s="1"/>
      <c r="BQ55" s="1"/>
      <c r="BR55" s="1" t="s">
        <v>131</v>
      </c>
      <c r="BS55" s="1"/>
      <c r="BT55" s="1"/>
      <c r="BU55" s="1" t="s">
        <v>535</v>
      </c>
      <c r="BV55" s="1"/>
      <c r="BW55" s="1"/>
      <c r="BX55" s="1"/>
      <c r="BY55" s="1"/>
      <c r="BZ55" s="1"/>
      <c r="CA55" s="1"/>
      <c r="CB55" s="1"/>
      <c r="CC55" s="1"/>
      <c r="CD55" s="1" t="s">
        <v>164</v>
      </c>
      <c r="CE55" s="1" t="s">
        <v>655</v>
      </c>
      <c r="CF55" s="1" t="s">
        <v>146</v>
      </c>
      <c r="CG55" s="1"/>
      <c r="CH55" s="1"/>
      <c r="CI55" s="1" t="str">
        <f t="shared" si="4"/>
        <v>0</v>
      </c>
      <c r="CJ55" s="1"/>
      <c r="CK55" s="1"/>
      <c r="CL55" s="1" t="s">
        <v>131</v>
      </c>
      <c r="CM55" s="1"/>
      <c r="CN55" s="1" t="s">
        <v>132</v>
      </c>
      <c r="CO55" s="1" t="s">
        <v>118</v>
      </c>
    </row>
    <row r="56" spans="1:93" hidden="1" x14ac:dyDescent="0.3">
      <c r="A56" s="1">
        <v>2549982</v>
      </c>
      <c r="B56" s="1">
        <v>99917</v>
      </c>
      <c r="C56" s="1" t="str">
        <f>"970131450680"</f>
        <v>970131450680</v>
      </c>
      <c r="D56" s="1" t="s">
        <v>656</v>
      </c>
      <c r="E56" s="1" t="s">
        <v>657</v>
      </c>
      <c r="F56" s="1" t="s">
        <v>658</v>
      </c>
      <c r="G56" s="2">
        <v>35461</v>
      </c>
      <c r="H56" s="1"/>
      <c r="I56" s="1" t="s">
        <v>106</v>
      </c>
      <c r="J56" s="1" t="s">
        <v>107</v>
      </c>
      <c r="K56" s="1" t="s">
        <v>108</v>
      </c>
      <c r="L56" s="1"/>
      <c r="M56" s="1"/>
      <c r="N56" s="1"/>
      <c r="O56" s="1"/>
      <c r="P56" s="1" t="s">
        <v>109</v>
      </c>
      <c r="Q56" s="1" t="s">
        <v>136</v>
      </c>
      <c r="R56" s="1"/>
      <c r="S56" s="1"/>
      <c r="T56" s="1"/>
      <c r="U56" s="1"/>
      <c r="V56" s="1"/>
      <c r="W56" s="1" t="str">
        <f>"2023-04-20T00:00:00"</f>
        <v>2023-04-20T00:00:00</v>
      </c>
      <c r="X56" s="1" t="str">
        <f>"2"</f>
        <v>2</v>
      </c>
      <c r="Y56" s="1"/>
      <c r="Z56" s="1" t="s">
        <v>137</v>
      </c>
      <c r="AA56" s="1" t="s">
        <v>111</v>
      </c>
      <c r="AB56" s="1"/>
      <c r="AC56" s="1"/>
      <c r="AD56" s="1"/>
      <c r="AE56" s="1" t="s">
        <v>112</v>
      </c>
      <c r="AF56" s="1" t="s">
        <v>113</v>
      </c>
      <c r="AG56" s="1">
        <v>0</v>
      </c>
      <c r="AH56" s="1" t="s">
        <v>114</v>
      </c>
      <c r="AI56" s="1" t="s">
        <v>115</v>
      </c>
      <c r="AJ56" s="1" t="s">
        <v>116</v>
      </c>
      <c r="AK56" s="1"/>
      <c r="AL56" s="1"/>
      <c r="AM56" s="1"/>
      <c r="AN56" s="1" t="s">
        <v>117</v>
      </c>
      <c r="AO56" s="1" t="s">
        <v>118</v>
      </c>
      <c r="AP56" s="1" t="str">
        <f>"6"</f>
        <v>6</v>
      </c>
      <c r="AQ56" s="1" t="str">
        <f>"6"</f>
        <v>6</v>
      </c>
      <c r="AR56" s="1" t="str">
        <f>"6"</f>
        <v>6</v>
      </c>
      <c r="AS56" s="1" t="str">
        <f>"6"</f>
        <v>6</v>
      </c>
      <c r="AT56" s="1" t="str">
        <f>"0"</f>
        <v>0</v>
      </c>
      <c r="AU56" s="1" t="str">
        <f>"akkol4@mail.ru"</f>
        <v>akkol4@mail.ru</v>
      </c>
      <c r="AV56" s="1" t="str">
        <f>"87770353703"</f>
        <v>87770353703</v>
      </c>
      <c r="AW56" s="1" t="s">
        <v>119</v>
      </c>
      <c r="AX56" s="1"/>
      <c r="AY56" s="1"/>
      <c r="AZ56" s="1" t="s">
        <v>183</v>
      </c>
      <c r="BA56" s="1"/>
      <c r="BB56" s="1"/>
      <c r="BC56" s="1"/>
      <c r="BD56" s="1" t="s">
        <v>141</v>
      </c>
      <c r="BE56" s="1" t="s">
        <v>122</v>
      </c>
      <c r="BF56" s="1">
        <v>0</v>
      </c>
      <c r="BG56" s="1" t="str">
        <f>"[0]"</f>
        <v>[0]</v>
      </c>
      <c r="BH56" s="1" t="s">
        <v>118</v>
      </c>
      <c r="BI56" s="1">
        <v>0</v>
      </c>
      <c r="BJ56" s="1"/>
      <c r="BK56" s="1"/>
      <c r="BL56" s="1"/>
      <c r="BM56" s="1"/>
      <c r="BN56" s="1"/>
      <c r="BO56" s="1"/>
      <c r="BP56" s="1"/>
      <c r="BQ56" s="1"/>
      <c r="BR56" s="1"/>
      <c r="BS56" s="1"/>
      <c r="BT56" s="1"/>
      <c r="BU56" s="1" t="s">
        <v>123</v>
      </c>
      <c r="BV56" s="1" t="s">
        <v>141</v>
      </c>
      <c r="BW56" s="1" t="s">
        <v>659</v>
      </c>
      <c r="BX56" s="1" t="s">
        <v>125</v>
      </c>
      <c r="BY56" s="1" t="s">
        <v>126</v>
      </c>
      <c r="BZ56" s="1">
        <v>160</v>
      </c>
      <c r="CA56" s="1" t="s">
        <v>660</v>
      </c>
      <c r="CB56" s="1" t="s">
        <v>661</v>
      </c>
      <c r="CC56" s="1">
        <v>123</v>
      </c>
      <c r="CD56" s="1" t="s">
        <v>164</v>
      </c>
      <c r="CE56" s="1" t="s">
        <v>662</v>
      </c>
      <c r="CF56" s="1"/>
      <c r="CG56" s="1"/>
      <c r="CH56" s="1"/>
      <c r="CI56" s="1" t="str">
        <f t="shared" si="4"/>
        <v>0</v>
      </c>
      <c r="CJ56" s="1"/>
      <c r="CK56" s="1"/>
      <c r="CL56" s="1" t="s">
        <v>136</v>
      </c>
      <c r="CM56" s="1"/>
      <c r="CN56" s="1" t="s">
        <v>132</v>
      </c>
      <c r="CO56" s="1" t="s">
        <v>118</v>
      </c>
    </row>
    <row r="57" spans="1:93" hidden="1" x14ac:dyDescent="0.3">
      <c r="A57" s="1">
        <v>2550030</v>
      </c>
      <c r="B57" s="1">
        <v>64202</v>
      </c>
      <c r="C57" s="1" t="str">
        <f>"811105451073"</f>
        <v>811105451073</v>
      </c>
      <c r="D57" s="1" t="s">
        <v>663</v>
      </c>
      <c r="E57" s="1" t="s">
        <v>664</v>
      </c>
      <c r="F57" s="1" t="s">
        <v>665</v>
      </c>
      <c r="G57" s="2">
        <v>29895</v>
      </c>
      <c r="H57" s="1"/>
      <c r="I57" s="1" t="s">
        <v>106</v>
      </c>
      <c r="J57" s="1" t="s">
        <v>107</v>
      </c>
      <c r="K57" s="1" t="s">
        <v>108</v>
      </c>
      <c r="L57" s="1"/>
      <c r="M57" s="1"/>
      <c r="N57" s="1"/>
      <c r="O57" s="1"/>
      <c r="P57" s="1" t="s">
        <v>109</v>
      </c>
      <c r="Q57" s="1" t="s">
        <v>136</v>
      </c>
      <c r="R57" s="1"/>
      <c r="S57" s="1"/>
      <c r="T57" s="1"/>
      <c r="U57" s="1"/>
      <c r="V57" s="1"/>
      <c r="W57" s="1" t="str">
        <f>"2022-08-31T00:00:00"</f>
        <v>2022-08-31T00:00:00</v>
      </c>
      <c r="X57" s="1" t="str">
        <f>"138"</f>
        <v>138</v>
      </c>
      <c r="Y57" s="1"/>
      <c r="Z57" s="1" t="s">
        <v>366</v>
      </c>
      <c r="AA57" s="1" t="s">
        <v>111</v>
      </c>
      <c r="AB57" s="1"/>
      <c r="AC57" s="1"/>
      <c r="AD57" s="1"/>
      <c r="AE57" s="1" t="s">
        <v>138</v>
      </c>
      <c r="AF57" s="1" t="s">
        <v>200</v>
      </c>
      <c r="AG57" s="1">
        <v>1.5</v>
      </c>
      <c r="AH57" s="1" t="s">
        <v>114</v>
      </c>
      <c r="AI57" s="1" t="s">
        <v>115</v>
      </c>
      <c r="AJ57" s="1" t="s">
        <v>116</v>
      </c>
      <c r="AK57" s="1"/>
      <c r="AL57" s="1"/>
      <c r="AM57" s="1"/>
      <c r="AN57" s="1" t="s">
        <v>117</v>
      </c>
      <c r="AO57" s="1" t="s">
        <v>118</v>
      </c>
      <c r="AP57" s="1" t="str">
        <f>"19"</f>
        <v>19</v>
      </c>
      <c r="AQ57" s="1" t="str">
        <f>"20"</f>
        <v>20</v>
      </c>
      <c r="AR57" s="1" t="str">
        <f>"20"</f>
        <v>20</v>
      </c>
      <c r="AS57" s="1" t="str">
        <f>"20"</f>
        <v>20</v>
      </c>
      <c r="AT57" s="1" t="str">
        <f>"1"</f>
        <v>1</v>
      </c>
      <c r="AU57" s="1" t="str">
        <f>"kurumbaeva81@bk.ru"</f>
        <v>kurumbaeva81@bk.ru</v>
      </c>
      <c r="AV57" s="1" t="str">
        <f>"87019645712"</f>
        <v>87019645712</v>
      </c>
      <c r="AW57" s="1" t="s">
        <v>139</v>
      </c>
      <c r="AX57" s="1" t="s">
        <v>202</v>
      </c>
      <c r="AY57" s="1" t="s">
        <v>203</v>
      </c>
      <c r="AZ57" s="1" t="s">
        <v>183</v>
      </c>
      <c r="BA57" s="1"/>
      <c r="BB57" s="1"/>
      <c r="BC57" s="1"/>
      <c r="BD57" s="1" t="s">
        <v>205</v>
      </c>
      <c r="BE57" s="1" t="s">
        <v>122</v>
      </c>
      <c r="BF57" s="1">
        <v>1.5</v>
      </c>
      <c r="BG57" s="1" t="str">
        <f>"[24]"</f>
        <v>[24]</v>
      </c>
      <c r="BH57" s="1" t="s">
        <v>118</v>
      </c>
      <c r="BI57" s="1">
        <v>0</v>
      </c>
      <c r="BJ57" s="1"/>
      <c r="BK57" s="1"/>
      <c r="BL57" s="1"/>
      <c r="BM57" s="1"/>
      <c r="BN57" s="1" t="s">
        <v>154</v>
      </c>
      <c r="BO57" s="1"/>
      <c r="BP57" s="1"/>
      <c r="BQ57" s="1"/>
      <c r="BR57" s="1" t="s">
        <v>131</v>
      </c>
      <c r="BS57" s="1"/>
      <c r="BT57" s="1"/>
      <c r="BU57" s="1" t="s">
        <v>666</v>
      </c>
      <c r="BV57" s="1" t="s">
        <v>667</v>
      </c>
      <c r="BW57" s="1" t="s">
        <v>668</v>
      </c>
      <c r="BX57" s="1" t="s">
        <v>669</v>
      </c>
      <c r="BY57" s="1" t="s">
        <v>432</v>
      </c>
      <c r="BZ57" s="1" t="s">
        <v>670</v>
      </c>
      <c r="CA57" s="1" t="s">
        <v>671</v>
      </c>
      <c r="CB57" s="1" t="s">
        <v>672</v>
      </c>
      <c r="CC57" s="1" t="s">
        <v>673</v>
      </c>
      <c r="CD57" s="1" t="s">
        <v>164</v>
      </c>
      <c r="CE57" s="1" t="s">
        <v>229</v>
      </c>
      <c r="CF57" s="3">
        <v>45383</v>
      </c>
      <c r="CG57" s="1"/>
      <c r="CH57" s="1"/>
      <c r="CI57" s="1" t="str">
        <f t="shared" si="4"/>
        <v>0</v>
      </c>
      <c r="CJ57" s="1"/>
      <c r="CK57" s="1"/>
      <c r="CL57" s="1" t="s">
        <v>131</v>
      </c>
      <c r="CM57" s="1"/>
      <c r="CN57" s="1" t="s">
        <v>132</v>
      </c>
      <c r="CO57" s="1" t="s">
        <v>118</v>
      </c>
    </row>
    <row r="58" spans="1:93" hidden="1" x14ac:dyDescent="0.3">
      <c r="A58" s="1">
        <v>2550039</v>
      </c>
      <c r="B58" s="1">
        <v>1552240</v>
      </c>
      <c r="C58" s="1" t="str">
        <f>"000302650919"</f>
        <v>000302650919</v>
      </c>
      <c r="D58" s="1" t="s">
        <v>674</v>
      </c>
      <c r="E58" s="1" t="s">
        <v>675</v>
      </c>
      <c r="F58" s="1" t="s">
        <v>676</v>
      </c>
      <c r="G58" s="2">
        <v>36587</v>
      </c>
      <c r="H58" s="1"/>
      <c r="I58" s="1" t="s">
        <v>106</v>
      </c>
      <c r="J58" s="1" t="s">
        <v>107</v>
      </c>
      <c r="K58" s="1" t="s">
        <v>108</v>
      </c>
      <c r="L58" s="1"/>
      <c r="M58" s="1"/>
      <c r="N58" s="1"/>
      <c r="O58" s="1"/>
      <c r="P58" s="1" t="s">
        <v>109</v>
      </c>
      <c r="Q58" s="1" t="s">
        <v>136</v>
      </c>
      <c r="R58" s="1"/>
      <c r="S58" s="1"/>
      <c r="T58" s="1"/>
      <c r="U58" s="1"/>
      <c r="V58" s="1"/>
      <c r="W58" s="1" t="str">
        <f>"2023-09-01T00:00:00"</f>
        <v>2023-09-01T00:00:00</v>
      </c>
      <c r="X58" s="1" t="str">
        <f>"1"</f>
        <v>1</v>
      </c>
      <c r="Y58" s="1"/>
      <c r="Z58" s="1" t="s">
        <v>366</v>
      </c>
      <c r="AA58" s="1" t="s">
        <v>111</v>
      </c>
      <c r="AB58" s="1"/>
      <c r="AC58" s="1"/>
      <c r="AD58" s="1"/>
      <c r="AE58" s="1" t="s">
        <v>112</v>
      </c>
      <c r="AF58" s="1" t="s">
        <v>113</v>
      </c>
      <c r="AG58" s="1">
        <v>0</v>
      </c>
      <c r="AH58" s="1" t="s">
        <v>114</v>
      </c>
      <c r="AI58" s="1" t="s">
        <v>115</v>
      </c>
      <c r="AJ58" s="1" t="s">
        <v>116</v>
      </c>
      <c r="AK58" s="1"/>
      <c r="AL58" s="1"/>
      <c r="AM58" s="1"/>
      <c r="AN58" s="1" t="s">
        <v>117</v>
      </c>
      <c r="AO58" s="1" t="s">
        <v>118</v>
      </c>
      <c r="AP58" s="1" t="str">
        <f>"1"</f>
        <v>1</v>
      </c>
      <c r="AQ58" s="1" t="str">
        <f>"1"</f>
        <v>1</v>
      </c>
      <c r="AR58" s="1" t="str">
        <f>"1"</f>
        <v>1</v>
      </c>
      <c r="AS58" s="1" t="str">
        <f>"1"</f>
        <v>1</v>
      </c>
      <c r="AT58" s="1" t="str">
        <f>"0"</f>
        <v>0</v>
      </c>
      <c r="AU58" s="1" t="str">
        <f>"bakyt_ayaulym@bk.ru"</f>
        <v>bakyt_ayaulym@bk.ru</v>
      </c>
      <c r="AV58" s="1" t="str">
        <f>"87761598846"</f>
        <v>87761598846</v>
      </c>
      <c r="AW58" s="1" t="s">
        <v>119</v>
      </c>
      <c r="AX58" s="1"/>
      <c r="AY58" s="1"/>
      <c r="AZ58" s="1" t="s">
        <v>170</v>
      </c>
      <c r="BA58" s="1"/>
      <c r="BB58" s="1"/>
      <c r="BC58" s="1"/>
      <c r="BD58" s="1" t="s">
        <v>270</v>
      </c>
      <c r="BE58" s="1" t="s">
        <v>122</v>
      </c>
      <c r="BF58" s="1">
        <v>0</v>
      </c>
      <c r="BG58" s="1" t="str">
        <f>"[0]"</f>
        <v>[0]</v>
      </c>
      <c r="BH58" s="1" t="s">
        <v>118</v>
      </c>
      <c r="BI58" s="1">
        <v>0</v>
      </c>
      <c r="BJ58" s="1"/>
      <c r="BK58" s="1"/>
      <c r="BL58" s="1"/>
      <c r="BM58" s="1"/>
      <c r="BN58" s="1"/>
      <c r="BO58" s="1"/>
      <c r="BP58" s="1"/>
      <c r="BQ58" s="1"/>
      <c r="BR58" s="1"/>
      <c r="BS58" s="1"/>
      <c r="BT58" s="1"/>
      <c r="BU58" s="1" t="s">
        <v>535</v>
      </c>
      <c r="BV58" s="1"/>
      <c r="BW58" s="1"/>
      <c r="BX58" s="1"/>
      <c r="BY58" s="1"/>
      <c r="BZ58" s="1"/>
      <c r="CA58" s="1"/>
      <c r="CB58" s="1"/>
      <c r="CC58" s="1"/>
      <c r="CD58" s="1" t="s">
        <v>164</v>
      </c>
      <c r="CE58" s="1" t="s">
        <v>677</v>
      </c>
      <c r="CF58" s="1"/>
      <c r="CG58" s="1"/>
      <c r="CH58" s="1"/>
      <c r="CI58" s="1" t="str">
        <f t="shared" si="4"/>
        <v>0</v>
      </c>
      <c r="CJ58" s="1"/>
      <c r="CK58" s="1"/>
      <c r="CL58" s="1" t="s">
        <v>136</v>
      </c>
      <c r="CM58" s="1"/>
      <c r="CN58" s="1" t="s">
        <v>132</v>
      </c>
      <c r="CO58" s="1" t="s">
        <v>118</v>
      </c>
    </row>
    <row r="59" spans="1:93" hidden="1" x14ac:dyDescent="0.3">
      <c r="A59" s="1">
        <v>2553357</v>
      </c>
      <c r="B59" s="1">
        <v>56706</v>
      </c>
      <c r="C59" s="1" t="str">
        <f>"840430450263"</f>
        <v>840430450263</v>
      </c>
      <c r="D59" s="1" t="s">
        <v>678</v>
      </c>
      <c r="E59" s="1" t="s">
        <v>679</v>
      </c>
      <c r="F59" s="1" t="s">
        <v>680</v>
      </c>
      <c r="G59" s="2">
        <v>30802</v>
      </c>
      <c r="H59" s="1"/>
      <c r="I59" s="1" t="s">
        <v>106</v>
      </c>
      <c r="J59" s="1" t="s">
        <v>107</v>
      </c>
      <c r="K59" s="1" t="s">
        <v>108</v>
      </c>
      <c r="L59" s="1"/>
      <c r="M59" s="1"/>
      <c r="N59" s="1"/>
      <c r="O59" s="1"/>
      <c r="P59" s="1" t="s">
        <v>109</v>
      </c>
      <c r="Q59" s="1" t="s">
        <v>136</v>
      </c>
      <c r="R59" s="1"/>
      <c r="S59" s="1"/>
      <c r="T59" s="1"/>
      <c r="U59" s="1"/>
      <c r="V59" s="1"/>
      <c r="W59" s="1" t="str">
        <f>"2021-10-12T00:00:00"</f>
        <v>2021-10-12T00:00:00</v>
      </c>
      <c r="X59" s="1" t="str">
        <f>"172"</f>
        <v>172</v>
      </c>
      <c r="Y59" s="1"/>
      <c r="Z59" s="1" t="s">
        <v>366</v>
      </c>
      <c r="AA59" s="1" t="s">
        <v>111</v>
      </c>
      <c r="AB59" s="1"/>
      <c r="AC59" s="1"/>
      <c r="AD59" s="1"/>
      <c r="AE59" s="1" t="s">
        <v>138</v>
      </c>
      <c r="AF59" s="1" t="s">
        <v>113</v>
      </c>
      <c r="AG59" s="1">
        <v>1.5</v>
      </c>
      <c r="AH59" s="1" t="s">
        <v>114</v>
      </c>
      <c r="AI59" s="1" t="s">
        <v>115</v>
      </c>
      <c r="AJ59" s="1" t="s">
        <v>116</v>
      </c>
      <c r="AK59" s="1"/>
      <c r="AL59" s="1"/>
      <c r="AM59" s="1"/>
      <c r="AN59" s="1" t="s">
        <v>117</v>
      </c>
      <c r="AO59" s="1" t="s">
        <v>118</v>
      </c>
      <c r="AP59" s="1" t="str">
        <f>"16"</f>
        <v>16</v>
      </c>
      <c r="AQ59" s="1" t="str">
        <f>"18"</f>
        <v>18</v>
      </c>
      <c r="AR59" s="1" t="str">
        <f>"17"</f>
        <v>17</v>
      </c>
      <c r="AS59" s="1" t="str">
        <f>"17"</f>
        <v>17</v>
      </c>
      <c r="AT59" s="1" t="str">
        <f>"2"</f>
        <v>2</v>
      </c>
      <c r="AU59" s="1" t="str">
        <f>"izobilnoie63@mail.ru"</f>
        <v>izobilnoie63@mail.ru</v>
      </c>
      <c r="AV59" s="1" t="str">
        <f>"87773130790"</f>
        <v>87773130790</v>
      </c>
      <c r="AW59" s="1" t="s">
        <v>681</v>
      </c>
      <c r="AX59" s="1" t="s">
        <v>682</v>
      </c>
      <c r="AY59" s="1"/>
      <c r="AZ59" s="1" t="s">
        <v>183</v>
      </c>
      <c r="BA59" s="1"/>
      <c r="BB59" s="1"/>
      <c r="BC59" s="1"/>
      <c r="BD59" s="1" t="s">
        <v>327</v>
      </c>
      <c r="BE59" s="1" t="s">
        <v>122</v>
      </c>
      <c r="BF59" s="1">
        <v>1.5</v>
      </c>
      <c r="BG59" s="1" t="str">
        <f>"[24]"</f>
        <v>[24]</v>
      </c>
      <c r="BH59" s="1" t="s">
        <v>118</v>
      </c>
      <c r="BI59" s="1">
        <v>0</v>
      </c>
      <c r="BJ59" s="1"/>
      <c r="BK59" s="1"/>
      <c r="BL59" s="1"/>
      <c r="BM59" s="1"/>
      <c r="BN59" s="1" t="s">
        <v>154</v>
      </c>
      <c r="BO59" s="1"/>
      <c r="BP59" s="1"/>
      <c r="BQ59" s="1"/>
      <c r="BR59" s="1" t="s">
        <v>131</v>
      </c>
      <c r="BS59" s="1"/>
      <c r="BT59" s="1"/>
      <c r="BU59" s="1" t="s">
        <v>171</v>
      </c>
      <c r="BV59" s="1" t="s">
        <v>683</v>
      </c>
      <c r="BW59" s="1" t="s">
        <v>684</v>
      </c>
      <c r="BX59" s="1" t="s">
        <v>174</v>
      </c>
      <c r="BY59" s="1" t="s">
        <v>175</v>
      </c>
      <c r="BZ59" s="1" t="s">
        <v>176</v>
      </c>
      <c r="CA59" s="1" t="s">
        <v>685</v>
      </c>
      <c r="CB59" s="1" t="s">
        <v>686</v>
      </c>
      <c r="CC59" s="1" t="s">
        <v>687</v>
      </c>
      <c r="CD59" s="1" t="s">
        <v>164</v>
      </c>
      <c r="CE59" s="1" t="s">
        <v>688</v>
      </c>
      <c r="CF59" s="1" t="s">
        <v>146</v>
      </c>
      <c r="CG59" s="1"/>
      <c r="CH59" s="1"/>
      <c r="CI59" s="1" t="str">
        <f t="shared" si="4"/>
        <v>0</v>
      </c>
      <c r="CJ59" s="1"/>
      <c r="CK59" s="1"/>
      <c r="CL59" s="1" t="s">
        <v>136</v>
      </c>
      <c r="CM59" s="1"/>
      <c r="CN59" s="1" t="s">
        <v>132</v>
      </c>
      <c r="CO59" s="1" t="s">
        <v>118</v>
      </c>
    </row>
    <row r="60" spans="1:93" hidden="1" x14ac:dyDescent="0.3">
      <c r="A60" s="1">
        <v>2577189</v>
      </c>
      <c r="B60" s="1">
        <v>76457</v>
      </c>
      <c r="C60" s="1" t="str">
        <f>"960516450730"</f>
        <v>960516450730</v>
      </c>
      <c r="D60" s="1" t="s">
        <v>689</v>
      </c>
      <c r="E60" s="1" t="s">
        <v>690</v>
      </c>
      <c r="F60" s="1" t="s">
        <v>691</v>
      </c>
      <c r="G60" s="2">
        <v>35201</v>
      </c>
      <c r="H60" s="1"/>
      <c r="I60" s="1" t="s">
        <v>106</v>
      </c>
      <c r="J60" s="1" t="s">
        <v>107</v>
      </c>
      <c r="K60" s="1" t="s">
        <v>108</v>
      </c>
      <c r="L60" s="1"/>
      <c r="M60" s="1"/>
      <c r="N60" s="1"/>
      <c r="O60" s="1"/>
      <c r="P60" s="1" t="s">
        <v>109</v>
      </c>
      <c r="Q60" s="1" t="s">
        <v>136</v>
      </c>
      <c r="R60" s="1"/>
      <c r="S60" s="1"/>
      <c r="T60" s="1"/>
      <c r="U60" s="1"/>
      <c r="V60" s="1"/>
      <c r="W60" s="1" t="str">
        <f>"2022-08-31T00:00:00"</f>
        <v>2022-08-31T00:00:00</v>
      </c>
      <c r="X60" s="1" t="str">
        <f>"139"</f>
        <v>139</v>
      </c>
      <c r="Y60" s="1"/>
      <c r="Z60" s="1" t="s">
        <v>137</v>
      </c>
      <c r="AA60" s="1" t="s">
        <v>111</v>
      </c>
      <c r="AB60" s="1"/>
      <c r="AC60" s="1"/>
      <c r="AD60" s="1"/>
      <c r="AE60" s="1" t="s">
        <v>112</v>
      </c>
      <c r="AF60" s="1" t="s">
        <v>169</v>
      </c>
      <c r="AG60" s="1">
        <v>0</v>
      </c>
      <c r="AH60" s="1" t="s">
        <v>114</v>
      </c>
      <c r="AI60" s="1" t="s">
        <v>115</v>
      </c>
      <c r="AJ60" s="1" t="s">
        <v>116</v>
      </c>
      <c r="AK60" s="1"/>
      <c r="AL60" s="1"/>
      <c r="AM60" s="1"/>
      <c r="AN60" s="1" t="s">
        <v>117</v>
      </c>
      <c r="AO60" s="1" t="s">
        <v>118</v>
      </c>
      <c r="AP60" s="1" t="str">
        <f>"4"</f>
        <v>4</v>
      </c>
      <c r="AQ60" s="1" t="str">
        <f>"5"</f>
        <v>5</v>
      </c>
      <c r="AR60" s="1" t="str">
        <f>"4"</f>
        <v>4</v>
      </c>
      <c r="AS60" s="1" t="str">
        <f>"4"</f>
        <v>4</v>
      </c>
      <c r="AT60" s="1" t="str">
        <f>"1"</f>
        <v>1</v>
      </c>
      <c r="AU60" s="1" t="str">
        <f>"indiulmesova.arai.96@mail.ru"</f>
        <v>indiulmesova.arai.96@mail.ru</v>
      </c>
      <c r="AV60" s="1" t="str">
        <f>"87474580591"</f>
        <v>87474580591</v>
      </c>
      <c r="AW60" s="1" t="s">
        <v>152</v>
      </c>
      <c r="AX60" s="1" t="s">
        <v>202</v>
      </c>
      <c r="AY60" s="1"/>
      <c r="AZ60" s="1" t="s">
        <v>183</v>
      </c>
      <c r="BA60" s="1"/>
      <c r="BB60" s="1"/>
      <c r="BC60" s="1"/>
      <c r="BD60" s="1"/>
      <c r="BE60" s="1"/>
      <c r="BF60" s="1"/>
      <c r="BG60" s="1"/>
      <c r="BH60" s="1" t="s">
        <v>118</v>
      </c>
      <c r="BI60" s="1">
        <v>0</v>
      </c>
      <c r="BJ60" s="1"/>
      <c r="BK60" s="1"/>
      <c r="BL60" s="1"/>
      <c r="BM60" s="1"/>
      <c r="BN60" s="1"/>
      <c r="BO60" s="1"/>
      <c r="BP60" s="1"/>
      <c r="BQ60" s="1"/>
      <c r="BR60" s="1"/>
      <c r="BS60" s="1"/>
      <c r="BT60" s="1"/>
      <c r="BU60" s="1" t="s">
        <v>123</v>
      </c>
      <c r="BV60" s="1" t="s">
        <v>692</v>
      </c>
      <c r="BW60" s="1" t="s">
        <v>693</v>
      </c>
      <c r="BX60" s="1" t="s">
        <v>125</v>
      </c>
      <c r="BY60" s="1" t="s">
        <v>126</v>
      </c>
      <c r="BZ60" s="1">
        <v>24</v>
      </c>
      <c r="CA60" s="1" t="s">
        <v>694</v>
      </c>
      <c r="CB60" s="1" t="s">
        <v>695</v>
      </c>
      <c r="CC60" s="1">
        <v>180310290</v>
      </c>
      <c r="CD60" s="1" t="s">
        <v>164</v>
      </c>
      <c r="CE60" s="1"/>
      <c r="CF60" s="1"/>
      <c r="CG60" s="1"/>
      <c r="CH60" s="1"/>
      <c r="CI60" s="1"/>
      <c r="CJ60" s="1"/>
      <c r="CK60" s="1"/>
      <c r="CL60" s="1" t="s">
        <v>136</v>
      </c>
      <c r="CM60" s="1"/>
      <c r="CN60" s="1" t="s">
        <v>132</v>
      </c>
      <c r="CO60" s="1" t="s">
        <v>118</v>
      </c>
    </row>
    <row r="61" spans="1:93" hidden="1" x14ac:dyDescent="0.3">
      <c r="A61" s="1">
        <v>2605871</v>
      </c>
      <c r="B61" s="1">
        <v>157142</v>
      </c>
      <c r="C61" s="1" t="str">
        <f>"800213402048"</f>
        <v>800213402048</v>
      </c>
      <c r="D61" s="1" t="s">
        <v>696</v>
      </c>
      <c r="E61" s="1" t="s">
        <v>697</v>
      </c>
      <c r="F61" s="1" t="s">
        <v>216</v>
      </c>
      <c r="G61" s="2">
        <v>29264</v>
      </c>
      <c r="H61" s="1"/>
      <c r="I61" s="1" t="s">
        <v>106</v>
      </c>
      <c r="J61" s="1" t="s">
        <v>107</v>
      </c>
      <c r="K61" s="1" t="s">
        <v>108</v>
      </c>
      <c r="L61" s="1"/>
      <c r="M61" s="1"/>
      <c r="N61" s="1"/>
      <c r="O61" s="1"/>
      <c r="P61" s="1" t="s">
        <v>109</v>
      </c>
      <c r="Q61" s="1" t="s">
        <v>136</v>
      </c>
      <c r="R61" s="1"/>
      <c r="S61" s="1"/>
      <c r="T61" s="1"/>
      <c r="U61" s="1"/>
      <c r="V61" s="1"/>
      <c r="W61" s="1" t="str">
        <f>"2022-10-10T00:00:00"</f>
        <v>2022-10-10T00:00:00</v>
      </c>
      <c r="X61" s="1" t="str">
        <f>"177"</f>
        <v>177</v>
      </c>
      <c r="Y61" s="1"/>
      <c r="Z61" s="1" t="s">
        <v>476</v>
      </c>
      <c r="AA61" s="1" t="s">
        <v>111</v>
      </c>
      <c r="AB61" s="1"/>
      <c r="AC61" s="1"/>
      <c r="AD61" s="1"/>
      <c r="AE61" s="1" t="s">
        <v>138</v>
      </c>
      <c r="AF61" s="1" t="s">
        <v>113</v>
      </c>
      <c r="AG61" s="1">
        <v>1.5</v>
      </c>
      <c r="AH61" s="1" t="s">
        <v>114</v>
      </c>
      <c r="AI61" s="1" t="s">
        <v>115</v>
      </c>
      <c r="AJ61" s="1" t="s">
        <v>116</v>
      </c>
      <c r="AK61" s="1"/>
      <c r="AL61" s="1"/>
      <c r="AM61" s="1"/>
      <c r="AN61" s="1" t="s">
        <v>117</v>
      </c>
      <c r="AO61" s="1" t="s">
        <v>118</v>
      </c>
      <c r="AP61" s="1" t="str">
        <f>"15"</f>
        <v>15</v>
      </c>
      <c r="AQ61" s="1" t="str">
        <f>"16"</f>
        <v>16</v>
      </c>
      <c r="AR61" s="1" t="str">
        <f>"11"</f>
        <v>11</v>
      </c>
      <c r="AS61" s="1" t="str">
        <f>"11"</f>
        <v>11</v>
      </c>
      <c r="AT61" s="1" t="str">
        <f>"1"</f>
        <v>1</v>
      </c>
      <c r="AU61" s="1" t="str">
        <f>"step-school@inbox.ru"</f>
        <v>step-school@inbox.ru</v>
      </c>
      <c r="AV61" s="1" t="str">
        <f>"88775414993"</f>
        <v>88775414993</v>
      </c>
      <c r="AW61" s="1" t="s">
        <v>119</v>
      </c>
      <c r="AX61" s="1"/>
      <c r="AY61" s="1"/>
      <c r="AZ61" s="1" t="s">
        <v>204</v>
      </c>
      <c r="BA61" s="1"/>
      <c r="BB61" s="1"/>
      <c r="BC61" s="1"/>
      <c r="BD61" s="1" t="s">
        <v>367</v>
      </c>
      <c r="BE61" s="1" t="s">
        <v>122</v>
      </c>
      <c r="BF61" s="1">
        <v>1.5</v>
      </c>
      <c r="BG61" s="1" t="str">
        <f>"[24]"</f>
        <v>[24]</v>
      </c>
      <c r="BH61" s="1" t="s">
        <v>118</v>
      </c>
      <c r="BI61" s="1">
        <v>0</v>
      </c>
      <c r="BJ61" s="1"/>
      <c r="BK61" s="1"/>
      <c r="BL61" s="1"/>
      <c r="BM61" s="1"/>
      <c r="BN61" s="1" t="s">
        <v>256</v>
      </c>
      <c r="BO61" s="1"/>
      <c r="BP61" s="1"/>
      <c r="BQ61" s="1"/>
      <c r="BR61" s="1" t="s">
        <v>131</v>
      </c>
      <c r="BS61" s="1"/>
      <c r="BT61" s="1"/>
      <c r="BU61" s="1" t="s">
        <v>535</v>
      </c>
      <c r="BV61" s="1"/>
      <c r="BW61" s="1"/>
      <c r="BX61" s="1"/>
      <c r="BY61" s="1"/>
      <c r="BZ61" s="1"/>
      <c r="CA61" s="1"/>
      <c r="CB61" s="1"/>
      <c r="CC61" s="1"/>
      <c r="CD61" s="1" t="s">
        <v>164</v>
      </c>
      <c r="CE61" s="1" t="s">
        <v>698</v>
      </c>
      <c r="CF61" s="1" t="s">
        <v>146</v>
      </c>
      <c r="CG61" s="1"/>
      <c r="CH61" s="1"/>
      <c r="CI61" s="1" t="str">
        <f>"0"</f>
        <v>0</v>
      </c>
      <c r="CJ61" s="1" t="s">
        <v>136</v>
      </c>
      <c r="CK61" s="1"/>
      <c r="CL61" s="1" t="s">
        <v>131</v>
      </c>
      <c r="CM61" s="1"/>
      <c r="CN61" s="1" t="s">
        <v>132</v>
      </c>
      <c r="CO61" s="1" t="s">
        <v>118</v>
      </c>
    </row>
    <row r="62" spans="1:93" x14ac:dyDescent="0.3">
      <c r="A62" s="1">
        <v>2609110</v>
      </c>
      <c r="B62" s="1">
        <v>141547</v>
      </c>
      <c r="C62" s="1" t="str">
        <f>"720908399035"</f>
        <v>720908399035</v>
      </c>
      <c r="D62" s="1" t="s">
        <v>699</v>
      </c>
      <c r="E62" s="1" t="s">
        <v>700</v>
      </c>
      <c r="F62" s="1" t="s">
        <v>701</v>
      </c>
      <c r="G62" s="2">
        <v>26550</v>
      </c>
      <c r="H62" s="1"/>
      <c r="I62" s="1" t="s">
        <v>496</v>
      </c>
      <c r="J62" s="1" t="s">
        <v>702</v>
      </c>
      <c r="K62" s="1" t="s">
        <v>198</v>
      </c>
      <c r="L62" s="1"/>
      <c r="M62" s="1"/>
      <c r="N62" s="1"/>
      <c r="O62" s="1"/>
      <c r="P62" s="1" t="s">
        <v>109</v>
      </c>
      <c r="Q62" s="1" t="s">
        <v>136</v>
      </c>
      <c r="R62" s="1"/>
      <c r="S62" s="1"/>
      <c r="T62" s="1"/>
      <c r="U62" s="1"/>
      <c r="V62" s="1"/>
      <c r="W62" s="1" t="str">
        <f>"2019-01-03T00:00:00"</f>
        <v>2019-01-03T00:00:00</v>
      </c>
      <c r="X62" s="1" t="str">
        <f>"2 л/с"</f>
        <v>2 л/с</v>
      </c>
      <c r="Y62" s="1"/>
      <c r="Z62" s="1" t="s">
        <v>488</v>
      </c>
      <c r="AA62" s="1" t="s">
        <v>703</v>
      </c>
      <c r="AB62" s="1"/>
      <c r="AC62" s="1"/>
      <c r="AD62" s="1"/>
      <c r="AE62" s="1" t="s">
        <v>138</v>
      </c>
      <c r="AF62" s="1" t="s">
        <v>704</v>
      </c>
      <c r="AG62" s="1">
        <v>1</v>
      </c>
      <c r="AH62" s="1" t="s">
        <v>705</v>
      </c>
      <c r="AI62" s="1" t="s">
        <v>115</v>
      </c>
      <c r="AJ62" s="1" t="s">
        <v>706</v>
      </c>
      <c r="AK62" s="1"/>
      <c r="AL62" s="1"/>
      <c r="AM62" s="1"/>
      <c r="AN62" s="1" t="s">
        <v>442</v>
      </c>
      <c r="AO62" s="1"/>
      <c r="AP62" s="1" t="str">
        <f>"12"</f>
        <v>12</v>
      </c>
      <c r="AQ62" s="1" t="str">
        <f>"17"</f>
        <v>17</v>
      </c>
      <c r="AR62" s="1"/>
      <c r="AS62" s="1" t="str">
        <f>"0"</f>
        <v>0</v>
      </c>
      <c r="AT62" s="1" t="str">
        <f>"5"</f>
        <v>5</v>
      </c>
      <c r="AU62" s="1"/>
      <c r="AV62" s="1"/>
      <c r="AW62" s="1"/>
      <c r="AX62" s="1"/>
      <c r="AY62" s="1"/>
      <c r="AZ62" s="1"/>
      <c r="BA62" s="1"/>
      <c r="BB62" s="1"/>
      <c r="BC62" s="1"/>
      <c r="BD62" s="1"/>
      <c r="BE62" s="1"/>
      <c r="BF62" s="1"/>
      <c r="BG62" s="1"/>
      <c r="BH62" s="1" t="s">
        <v>118</v>
      </c>
      <c r="BI62" s="1">
        <v>0</v>
      </c>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row>
    <row r="63" spans="1:93" x14ac:dyDescent="0.3">
      <c r="A63" s="1">
        <v>2609147</v>
      </c>
      <c r="B63" s="1">
        <v>1699906</v>
      </c>
      <c r="C63" s="1" t="str">
        <f>"910224450942"</f>
        <v>910224450942</v>
      </c>
      <c r="D63" s="1" t="s">
        <v>707</v>
      </c>
      <c r="E63" s="1" t="s">
        <v>708</v>
      </c>
      <c r="F63" s="1" t="s">
        <v>709</v>
      </c>
      <c r="G63" s="2">
        <v>33293</v>
      </c>
      <c r="H63" s="1"/>
      <c r="I63" s="1" t="s">
        <v>106</v>
      </c>
      <c r="J63" s="1" t="s">
        <v>107</v>
      </c>
      <c r="K63" s="1" t="s">
        <v>108</v>
      </c>
      <c r="L63" s="1"/>
      <c r="M63" s="1"/>
      <c r="N63" s="1"/>
      <c r="O63" s="1"/>
      <c r="P63" s="1" t="s">
        <v>109</v>
      </c>
      <c r="Q63" s="1" t="s">
        <v>136</v>
      </c>
      <c r="R63" s="1"/>
      <c r="S63" s="1"/>
      <c r="T63" s="1"/>
      <c r="U63" s="1"/>
      <c r="V63" s="1"/>
      <c r="W63" s="1" t="str">
        <f>"2022-09-01T00:00:00"</f>
        <v>2022-09-01T00:00:00</v>
      </c>
      <c r="X63" s="1" t="str">
        <f>"144"</f>
        <v>144</v>
      </c>
      <c r="Y63" s="1"/>
      <c r="Z63" s="1" t="s">
        <v>488</v>
      </c>
      <c r="AA63" s="1" t="s">
        <v>111</v>
      </c>
      <c r="AB63" s="1"/>
      <c r="AC63" s="1"/>
      <c r="AD63" s="1"/>
      <c r="AE63" s="1" t="s">
        <v>138</v>
      </c>
      <c r="AF63" s="1" t="s">
        <v>710</v>
      </c>
      <c r="AG63" s="1">
        <v>1</v>
      </c>
      <c r="AH63" s="1" t="s">
        <v>114</v>
      </c>
      <c r="AI63" s="1" t="s">
        <v>115</v>
      </c>
      <c r="AJ63" s="1" t="s">
        <v>441</v>
      </c>
      <c r="AK63" s="1"/>
      <c r="AL63" s="1"/>
      <c r="AM63" s="1"/>
      <c r="AN63" s="1" t="s">
        <v>442</v>
      </c>
      <c r="AO63" s="1"/>
      <c r="AP63" s="1" t="str">
        <f>"10"</f>
        <v>10</v>
      </c>
      <c r="AQ63" s="1" t="str">
        <f>"11"</f>
        <v>11</v>
      </c>
      <c r="AR63" s="1"/>
      <c r="AS63" s="1" t="str">
        <f>"0"</f>
        <v>0</v>
      </c>
      <c r="AT63" s="1" t="str">
        <f>"1"</f>
        <v>1</v>
      </c>
      <c r="AU63" s="1"/>
      <c r="AV63" s="1"/>
      <c r="AW63" s="1"/>
      <c r="AX63" s="1"/>
      <c r="AY63" s="1"/>
      <c r="AZ63" s="1"/>
      <c r="BA63" s="1"/>
      <c r="BB63" s="1"/>
      <c r="BC63" s="1"/>
      <c r="BD63" s="1"/>
      <c r="BE63" s="1"/>
      <c r="BF63" s="1"/>
      <c r="BG63" s="1"/>
      <c r="BH63" s="1" t="s">
        <v>711</v>
      </c>
      <c r="BI63" s="1">
        <v>0.5</v>
      </c>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row>
    <row r="64" spans="1:93" x14ac:dyDescent="0.3">
      <c r="A64" s="1">
        <v>2610167</v>
      </c>
      <c r="B64" s="1">
        <v>1700308</v>
      </c>
      <c r="C64" s="1" t="str">
        <f>"941003451302"</f>
        <v>941003451302</v>
      </c>
      <c r="D64" s="1" t="s">
        <v>712</v>
      </c>
      <c r="E64" s="1" t="s">
        <v>713</v>
      </c>
      <c r="F64" s="1"/>
      <c r="G64" s="2">
        <v>34610</v>
      </c>
      <c r="H64" s="1"/>
      <c r="I64" s="1" t="s">
        <v>106</v>
      </c>
      <c r="J64" s="1" t="s">
        <v>107</v>
      </c>
      <c r="K64" s="1" t="s">
        <v>108</v>
      </c>
      <c r="L64" s="1"/>
      <c r="M64" s="1"/>
      <c r="N64" s="1"/>
      <c r="O64" s="1"/>
      <c r="P64" s="1" t="s">
        <v>109</v>
      </c>
      <c r="Q64" s="1" t="s">
        <v>136</v>
      </c>
      <c r="R64" s="1"/>
      <c r="S64" s="1"/>
      <c r="T64" s="1"/>
      <c r="U64" s="1"/>
      <c r="V64" s="1"/>
      <c r="W64" s="1" t="str">
        <f>"2022-10-21T00:00:00"</f>
        <v>2022-10-21T00:00:00</v>
      </c>
      <c r="X64" s="1" t="str">
        <f>"153/2022"</f>
        <v>153/2022</v>
      </c>
      <c r="Y64" s="1"/>
      <c r="Z64" s="1" t="s">
        <v>476</v>
      </c>
      <c r="AA64" s="1" t="s">
        <v>111</v>
      </c>
      <c r="AB64" s="1"/>
      <c r="AC64" s="1"/>
      <c r="AD64" s="1"/>
      <c r="AE64" s="1" t="s">
        <v>112</v>
      </c>
      <c r="AF64" s="1" t="s">
        <v>711</v>
      </c>
      <c r="AG64" s="1">
        <v>0</v>
      </c>
      <c r="AH64" s="1" t="s">
        <v>114</v>
      </c>
      <c r="AI64" s="1" t="s">
        <v>115</v>
      </c>
      <c r="AJ64" s="1" t="s">
        <v>116</v>
      </c>
      <c r="AK64" s="1"/>
      <c r="AL64" s="1"/>
      <c r="AM64" s="1"/>
      <c r="AN64" s="1" t="s">
        <v>117</v>
      </c>
      <c r="AO64" s="1" t="s">
        <v>118</v>
      </c>
      <c r="AP64" s="1" t="str">
        <f>"1"</f>
        <v>1</v>
      </c>
      <c r="AQ64" s="1" t="str">
        <f>"2"</f>
        <v>2</v>
      </c>
      <c r="AR64" s="1"/>
      <c r="AS64" s="1" t="str">
        <f>"0"</f>
        <v>0</v>
      </c>
      <c r="AT64" s="1" t="str">
        <f>"1"</f>
        <v>1</v>
      </c>
      <c r="AU64" s="1" t="str">
        <f>"saifullinaaa@mail.ru"</f>
        <v>saifullinaaa@mail.ru</v>
      </c>
      <c r="AV64" s="1" t="str">
        <f>"87061421024"</f>
        <v>87061421024</v>
      </c>
      <c r="AW64" s="1" t="s">
        <v>119</v>
      </c>
      <c r="AX64" s="1"/>
      <c r="AY64" s="1"/>
      <c r="AZ64" s="1" t="s">
        <v>130</v>
      </c>
      <c r="BA64" s="1"/>
      <c r="BB64" s="1"/>
      <c r="BC64" s="1"/>
      <c r="BD64" s="1"/>
      <c r="BE64" s="1"/>
      <c r="BF64" s="1"/>
      <c r="BG64" s="1"/>
      <c r="BH64" s="1" t="s">
        <v>118</v>
      </c>
      <c r="BI64" s="1">
        <v>0</v>
      </c>
      <c r="BJ64" s="1"/>
      <c r="BK64" s="1"/>
      <c r="BL64" s="1"/>
      <c r="BM64" s="1"/>
      <c r="BN64" s="1"/>
      <c r="BO64" s="1"/>
      <c r="BP64" s="1"/>
      <c r="BQ64" s="1"/>
      <c r="BR64" s="1"/>
      <c r="BS64" s="1"/>
      <c r="BT64" s="1"/>
      <c r="BU64" s="1" t="s">
        <v>535</v>
      </c>
      <c r="BV64" s="1"/>
      <c r="BW64" s="1"/>
      <c r="BX64" s="1"/>
      <c r="BY64" s="1"/>
      <c r="BZ64" s="1"/>
      <c r="CA64" s="1"/>
      <c r="CB64" s="1"/>
      <c r="CC64" s="1"/>
      <c r="CD64" s="1"/>
      <c r="CE64" s="1" t="s">
        <v>213</v>
      </c>
      <c r="CF64" s="1"/>
      <c r="CG64" s="1"/>
      <c r="CH64" s="1"/>
      <c r="CI64" s="1" t="str">
        <f t="shared" ref="CI64:CI69" si="5">"0"</f>
        <v>0</v>
      </c>
      <c r="CJ64" s="1"/>
      <c r="CK64" s="1"/>
      <c r="CL64" s="1"/>
      <c r="CM64" s="1"/>
      <c r="CN64" s="1" t="s">
        <v>714</v>
      </c>
      <c r="CO64" s="1"/>
    </row>
    <row r="65" spans="1:93" hidden="1" x14ac:dyDescent="0.3">
      <c r="A65" s="1">
        <v>2630146</v>
      </c>
      <c r="B65" s="1">
        <v>155861</v>
      </c>
      <c r="C65" s="1" t="str">
        <f>"570720301337"</f>
        <v>570720301337</v>
      </c>
      <c r="D65" s="1" t="s">
        <v>715</v>
      </c>
      <c r="E65" s="1" t="s">
        <v>716</v>
      </c>
      <c r="F65" s="1" t="s">
        <v>717</v>
      </c>
      <c r="G65" s="2">
        <v>21021</v>
      </c>
      <c r="H65" s="1"/>
      <c r="I65" s="1" t="s">
        <v>496</v>
      </c>
      <c r="J65" s="1" t="s">
        <v>107</v>
      </c>
      <c r="K65" s="1" t="s">
        <v>718</v>
      </c>
      <c r="L65" s="1"/>
      <c r="M65" s="1"/>
      <c r="N65" s="1"/>
      <c r="O65" s="1"/>
      <c r="P65" s="1" t="s">
        <v>497</v>
      </c>
      <c r="Q65" s="1" t="s">
        <v>136</v>
      </c>
      <c r="R65" s="1"/>
      <c r="S65" s="1"/>
      <c r="T65" s="1"/>
      <c r="U65" s="1"/>
      <c r="V65" s="1"/>
      <c r="W65" s="1" t="str">
        <f>"2022-11-01T00:00:00"</f>
        <v>2022-11-01T00:00:00</v>
      </c>
      <c r="X65" s="1" t="str">
        <f>"198"</f>
        <v>198</v>
      </c>
      <c r="Y65" s="1"/>
      <c r="Z65" s="1" t="s">
        <v>366</v>
      </c>
      <c r="AA65" s="1" t="s">
        <v>111</v>
      </c>
      <c r="AB65" s="1"/>
      <c r="AC65" s="1"/>
      <c r="AD65" s="1"/>
      <c r="AE65" s="1" t="s">
        <v>138</v>
      </c>
      <c r="AF65" s="1" t="s">
        <v>113</v>
      </c>
      <c r="AG65" s="1">
        <v>1.2</v>
      </c>
      <c r="AH65" s="1" t="s">
        <v>114</v>
      </c>
      <c r="AI65" s="1" t="s">
        <v>115</v>
      </c>
      <c r="AJ65" s="1" t="s">
        <v>116</v>
      </c>
      <c r="AK65" s="1"/>
      <c r="AL65" s="1"/>
      <c r="AM65" s="1"/>
      <c r="AN65" s="1" t="s">
        <v>117</v>
      </c>
      <c r="AO65" s="1" t="s">
        <v>118</v>
      </c>
      <c r="AP65" s="1" t="str">
        <f>"37"</f>
        <v>37</v>
      </c>
      <c r="AQ65" s="1" t="str">
        <f>"38"</f>
        <v>38</v>
      </c>
      <c r="AR65" s="1" t="str">
        <f>"38"</f>
        <v>38</v>
      </c>
      <c r="AS65" s="1" t="str">
        <f>"38"</f>
        <v>38</v>
      </c>
      <c r="AT65" s="1" t="str">
        <f>"1"</f>
        <v>1</v>
      </c>
      <c r="AU65" s="1" t="str">
        <f>"karibullin57@inbox.ru"</f>
        <v>karibullin57@inbox.ru</v>
      </c>
      <c r="AV65" s="1" t="str">
        <f>"87015516845"</f>
        <v>87015516845</v>
      </c>
      <c r="AW65" s="1" t="s">
        <v>681</v>
      </c>
      <c r="AX65" s="1" t="s">
        <v>579</v>
      </c>
      <c r="AY65" s="1"/>
      <c r="AZ65" s="1" t="s">
        <v>204</v>
      </c>
      <c r="BA65" s="1"/>
      <c r="BB65" s="1"/>
      <c r="BC65" s="1"/>
      <c r="BD65" s="1" t="s">
        <v>390</v>
      </c>
      <c r="BE65" s="1" t="s">
        <v>122</v>
      </c>
      <c r="BF65" s="1">
        <v>1.2</v>
      </c>
      <c r="BG65" s="1" t="str">
        <f>"[19]"</f>
        <v>[19]</v>
      </c>
      <c r="BH65" s="1" t="s">
        <v>118</v>
      </c>
      <c r="BI65" s="1">
        <v>0</v>
      </c>
      <c r="BJ65" s="1"/>
      <c r="BK65" s="1"/>
      <c r="BL65" s="1"/>
      <c r="BM65" s="1"/>
      <c r="BN65" s="1" t="s">
        <v>154</v>
      </c>
      <c r="BO65" s="1"/>
      <c r="BP65" s="1"/>
      <c r="BQ65" s="1"/>
      <c r="BR65" s="1" t="s">
        <v>131</v>
      </c>
      <c r="BS65" s="1"/>
      <c r="BT65" s="1"/>
      <c r="BU65" s="1" t="s">
        <v>271</v>
      </c>
      <c r="BV65" s="1" t="s">
        <v>406</v>
      </c>
      <c r="BW65" s="1" t="s">
        <v>187</v>
      </c>
      <c r="BX65" s="1" t="s">
        <v>174</v>
      </c>
      <c r="BY65" s="1" t="s">
        <v>209</v>
      </c>
      <c r="BZ65" s="1" t="s">
        <v>407</v>
      </c>
      <c r="CA65" s="1" t="s">
        <v>408</v>
      </c>
      <c r="CB65" s="1" t="s">
        <v>409</v>
      </c>
      <c r="CC65" s="1" t="s">
        <v>719</v>
      </c>
      <c r="CD65" s="1" t="s">
        <v>164</v>
      </c>
      <c r="CE65" s="1" t="s">
        <v>720</v>
      </c>
      <c r="CF65" s="1" t="s">
        <v>146</v>
      </c>
      <c r="CG65" s="1"/>
      <c r="CH65" s="1"/>
      <c r="CI65" s="1" t="str">
        <f t="shared" si="5"/>
        <v>0</v>
      </c>
      <c r="CJ65" s="1"/>
      <c r="CK65" s="1"/>
      <c r="CL65" s="1" t="s">
        <v>136</v>
      </c>
      <c r="CM65" s="1"/>
      <c r="CN65" s="1" t="s">
        <v>132</v>
      </c>
      <c r="CO65" s="1" t="s">
        <v>118</v>
      </c>
    </row>
    <row r="66" spans="1:93" hidden="1" x14ac:dyDescent="0.3">
      <c r="A66" s="1">
        <v>2630177</v>
      </c>
      <c r="B66" s="1">
        <v>59129</v>
      </c>
      <c r="C66" s="1" t="str">
        <f>"860513351488"</f>
        <v>860513351488</v>
      </c>
      <c r="D66" s="1" t="s">
        <v>721</v>
      </c>
      <c r="E66" s="1" t="s">
        <v>722</v>
      </c>
      <c r="F66" s="1"/>
      <c r="G66" s="2">
        <v>31545</v>
      </c>
      <c r="H66" s="1"/>
      <c r="I66" s="1" t="s">
        <v>496</v>
      </c>
      <c r="J66" s="1" t="s">
        <v>107</v>
      </c>
      <c r="K66" s="1" t="s">
        <v>108</v>
      </c>
      <c r="L66" s="1"/>
      <c r="M66" s="1"/>
      <c r="N66" s="1"/>
      <c r="O66" s="1"/>
      <c r="P66" s="1" t="s">
        <v>109</v>
      </c>
      <c r="Q66" s="1" t="s">
        <v>136</v>
      </c>
      <c r="R66" s="1"/>
      <c r="S66" s="1"/>
      <c r="T66" s="1"/>
      <c r="U66" s="1"/>
      <c r="V66" s="1"/>
      <c r="W66" s="1" t="str">
        <f>"2022-11-01T00:00:00"</f>
        <v>2022-11-01T00:00:00</v>
      </c>
      <c r="X66" s="1" t="str">
        <f>"199"</f>
        <v>199</v>
      </c>
      <c r="Y66" s="1"/>
      <c r="Z66" s="1" t="s">
        <v>366</v>
      </c>
      <c r="AA66" s="1" t="s">
        <v>111</v>
      </c>
      <c r="AB66" s="1"/>
      <c r="AC66" s="1"/>
      <c r="AD66" s="1"/>
      <c r="AE66" s="1" t="s">
        <v>138</v>
      </c>
      <c r="AF66" s="1" t="s">
        <v>113</v>
      </c>
      <c r="AG66" s="1">
        <v>1.5</v>
      </c>
      <c r="AH66" s="1" t="s">
        <v>114</v>
      </c>
      <c r="AI66" s="1" t="s">
        <v>115</v>
      </c>
      <c r="AJ66" s="1" t="s">
        <v>201</v>
      </c>
      <c r="AK66" s="1"/>
      <c r="AL66" s="1"/>
      <c r="AM66" s="1"/>
      <c r="AN66" s="1" t="s">
        <v>117</v>
      </c>
      <c r="AO66" s="1" t="s">
        <v>118</v>
      </c>
      <c r="AP66" s="1" t="str">
        <f>"6"</f>
        <v>6</v>
      </c>
      <c r="AQ66" s="1" t="str">
        <f>"7"</f>
        <v>7</v>
      </c>
      <c r="AR66" s="1" t="str">
        <f>"3"</f>
        <v>3</v>
      </c>
      <c r="AS66" s="1" t="str">
        <f>"3"</f>
        <v>3</v>
      </c>
      <c r="AT66" s="1" t="str">
        <f>"1"</f>
        <v>1</v>
      </c>
      <c r="AU66" s="1" t="str">
        <f>"nur.rinat@inbox.ru"</f>
        <v>nur.rinat@inbox.ru</v>
      </c>
      <c r="AV66" s="1" t="str">
        <f>"87052935633"</f>
        <v>87052935633</v>
      </c>
      <c r="AW66" s="1" t="s">
        <v>119</v>
      </c>
      <c r="AX66" s="1"/>
      <c r="AY66" s="1"/>
      <c r="AZ66" s="1" t="s">
        <v>120</v>
      </c>
      <c r="BA66" s="1"/>
      <c r="BB66" s="1"/>
      <c r="BC66" s="1"/>
      <c r="BD66" s="1" t="s">
        <v>141</v>
      </c>
      <c r="BE66" s="1" t="s">
        <v>206</v>
      </c>
      <c r="BF66" s="1">
        <v>1.5</v>
      </c>
      <c r="BG66" s="1" t="str">
        <f>"[24]"</f>
        <v>[24]</v>
      </c>
      <c r="BH66" s="1" t="s">
        <v>118</v>
      </c>
      <c r="BI66" s="1">
        <v>0</v>
      </c>
      <c r="BJ66" s="1"/>
      <c r="BK66" s="1"/>
      <c r="BL66" s="1"/>
      <c r="BM66" s="1"/>
      <c r="BN66" s="1" t="s">
        <v>256</v>
      </c>
      <c r="BO66" s="1"/>
      <c r="BP66" s="1"/>
      <c r="BQ66" s="1"/>
      <c r="BR66" s="1" t="s">
        <v>131</v>
      </c>
      <c r="BS66" s="1"/>
      <c r="BT66" s="1"/>
      <c r="BU66" s="1" t="s">
        <v>535</v>
      </c>
      <c r="BV66" s="1"/>
      <c r="BW66" s="1"/>
      <c r="BX66" s="1"/>
      <c r="BY66" s="1"/>
      <c r="BZ66" s="1"/>
      <c r="CA66" s="1"/>
      <c r="CB66" s="1"/>
      <c r="CC66" s="1"/>
      <c r="CD66" s="1" t="s">
        <v>164</v>
      </c>
      <c r="CE66" s="1" t="s">
        <v>723</v>
      </c>
      <c r="CF66" s="1" t="s">
        <v>146</v>
      </c>
      <c r="CG66" s="1"/>
      <c r="CH66" s="1"/>
      <c r="CI66" s="1" t="str">
        <f t="shared" si="5"/>
        <v>0</v>
      </c>
      <c r="CJ66" s="1" t="s">
        <v>136</v>
      </c>
      <c r="CK66" s="1"/>
      <c r="CL66" s="1" t="s">
        <v>131</v>
      </c>
      <c r="CM66" s="1"/>
      <c r="CN66" s="1" t="s">
        <v>132</v>
      </c>
      <c r="CO66" s="1" t="s">
        <v>194</v>
      </c>
    </row>
    <row r="67" spans="1:93" hidden="1" x14ac:dyDescent="0.3">
      <c r="A67" s="1">
        <v>2678646</v>
      </c>
      <c r="B67" s="1">
        <v>155785</v>
      </c>
      <c r="C67" s="1" t="str">
        <f>"960211450227"</f>
        <v>960211450227</v>
      </c>
      <c r="D67" s="1" t="s">
        <v>724</v>
      </c>
      <c r="E67" s="1" t="s">
        <v>725</v>
      </c>
      <c r="F67" s="1" t="s">
        <v>726</v>
      </c>
      <c r="G67" s="2">
        <v>35106</v>
      </c>
      <c r="H67" s="1"/>
      <c r="I67" s="1" t="s">
        <v>106</v>
      </c>
      <c r="J67" s="1" t="s">
        <v>107</v>
      </c>
      <c r="K67" s="1" t="s">
        <v>198</v>
      </c>
      <c r="L67" s="1"/>
      <c r="M67" s="1"/>
      <c r="N67" s="1"/>
      <c r="O67" s="1"/>
      <c r="P67" s="1" t="s">
        <v>109</v>
      </c>
      <c r="Q67" s="1" t="s">
        <v>136</v>
      </c>
      <c r="R67" s="1"/>
      <c r="S67" s="1"/>
      <c r="T67" s="1"/>
      <c r="U67" s="1"/>
      <c r="V67" s="1"/>
      <c r="W67" s="1" t="str">
        <f>"2023-01-04T00:00:00"</f>
        <v>2023-01-04T00:00:00</v>
      </c>
      <c r="X67" s="1" t="str">
        <f>"1/2"</f>
        <v>1/2</v>
      </c>
      <c r="Y67" s="1"/>
      <c r="Z67" s="1" t="s">
        <v>476</v>
      </c>
      <c r="AA67" s="1" t="s">
        <v>111</v>
      </c>
      <c r="AB67" s="1"/>
      <c r="AC67" s="1"/>
      <c r="AD67" s="1"/>
      <c r="AE67" s="1" t="s">
        <v>138</v>
      </c>
      <c r="AF67" s="1" t="s">
        <v>113</v>
      </c>
      <c r="AG67" s="1">
        <v>1.4</v>
      </c>
      <c r="AH67" s="1" t="s">
        <v>114</v>
      </c>
      <c r="AI67" s="1" t="s">
        <v>115</v>
      </c>
      <c r="AJ67" s="1" t="s">
        <v>116</v>
      </c>
      <c r="AK67" s="1"/>
      <c r="AL67" s="1"/>
      <c r="AM67" s="1"/>
      <c r="AN67" s="1" t="s">
        <v>117</v>
      </c>
      <c r="AO67" s="1" t="s">
        <v>118</v>
      </c>
      <c r="AP67" s="1" t="str">
        <f>"3"</f>
        <v>3</v>
      </c>
      <c r="AQ67" s="1" t="str">
        <f>"4"</f>
        <v>4</v>
      </c>
      <c r="AR67" s="1" t="str">
        <f>"4"</f>
        <v>4</v>
      </c>
      <c r="AS67" s="1" t="str">
        <f>"4"</f>
        <v>4</v>
      </c>
      <c r="AT67" s="1" t="str">
        <f>"1"</f>
        <v>1</v>
      </c>
      <c r="AU67" s="1" t="str">
        <f>"579203144@mail.ru"</f>
        <v>579203144@mail.ru</v>
      </c>
      <c r="AV67" s="1" t="str">
        <f>"87075138667"</f>
        <v>87075138667</v>
      </c>
      <c r="AW67" s="1" t="s">
        <v>119</v>
      </c>
      <c r="AX67" s="1"/>
      <c r="AY67" s="1"/>
      <c r="AZ67" s="1" t="s">
        <v>204</v>
      </c>
      <c r="BA67" s="1"/>
      <c r="BB67" s="1"/>
      <c r="BC67" s="1"/>
      <c r="BD67" s="1" t="s">
        <v>184</v>
      </c>
      <c r="BE67" s="1" t="s">
        <v>122</v>
      </c>
      <c r="BF67" s="1">
        <v>1.4</v>
      </c>
      <c r="BG67" s="1" t="str">
        <f>"[22]"</f>
        <v>[22]</v>
      </c>
      <c r="BH67" s="1" t="s">
        <v>118</v>
      </c>
      <c r="BI67" s="1">
        <v>0</v>
      </c>
      <c r="BJ67" s="1"/>
      <c r="BK67" s="1"/>
      <c r="BL67" s="1"/>
      <c r="BM67" s="1"/>
      <c r="BN67" s="1" t="s">
        <v>154</v>
      </c>
      <c r="BO67" s="1"/>
      <c r="BP67" s="1"/>
      <c r="BQ67" s="1"/>
      <c r="BR67" s="1" t="s">
        <v>131</v>
      </c>
      <c r="BS67" s="1"/>
      <c r="BT67" s="1"/>
      <c r="BU67" s="1" t="s">
        <v>602</v>
      </c>
      <c r="BV67" s="1" t="s">
        <v>184</v>
      </c>
      <c r="BW67" s="1" t="s">
        <v>727</v>
      </c>
      <c r="BX67" s="1" t="s">
        <v>125</v>
      </c>
      <c r="BY67" s="1" t="s">
        <v>341</v>
      </c>
      <c r="BZ67" s="1">
        <v>120</v>
      </c>
      <c r="CA67" s="1" t="s">
        <v>728</v>
      </c>
      <c r="CB67" s="1" t="s">
        <v>729</v>
      </c>
      <c r="CC67" s="1" t="s">
        <v>118</v>
      </c>
      <c r="CD67" s="1" t="s">
        <v>164</v>
      </c>
      <c r="CE67" s="1" t="s">
        <v>730</v>
      </c>
      <c r="CF67" s="1" t="s">
        <v>146</v>
      </c>
      <c r="CG67" s="1"/>
      <c r="CH67" s="1"/>
      <c r="CI67" s="1" t="str">
        <f t="shared" si="5"/>
        <v>0</v>
      </c>
      <c r="CJ67" s="1"/>
      <c r="CK67" s="1"/>
      <c r="CL67" s="1" t="s">
        <v>136</v>
      </c>
      <c r="CM67" s="1"/>
      <c r="CN67" s="1" t="s">
        <v>193</v>
      </c>
      <c r="CO67" s="1" t="s">
        <v>118</v>
      </c>
    </row>
    <row r="68" spans="1:93" hidden="1" x14ac:dyDescent="0.3">
      <c r="A68" s="1">
        <v>2779355</v>
      </c>
      <c r="B68" s="1">
        <v>154497</v>
      </c>
      <c r="C68" s="1" t="str">
        <f>"890901451072"</f>
        <v>890901451072</v>
      </c>
      <c r="D68" s="1" t="s">
        <v>731</v>
      </c>
      <c r="E68" s="1" t="s">
        <v>732</v>
      </c>
      <c r="F68" s="1"/>
      <c r="G68" s="2">
        <v>32752</v>
      </c>
      <c r="H68" s="1"/>
      <c r="I68" s="1" t="s">
        <v>106</v>
      </c>
      <c r="J68" s="1" t="s">
        <v>107</v>
      </c>
      <c r="K68" s="1" t="s">
        <v>108</v>
      </c>
      <c r="L68" s="1"/>
      <c r="M68" s="1"/>
      <c r="N68" s="1"/>
      <c r="O68" s="1"/>
      <c r="P68" s="1" t="s">
        <v>109</v>
      </c>
      <c r="Q68" s="1" t="s">
        <v>136</v>
      </c>
      <c r="R68" s="1"/>
      <c r="S68" s="1"/>
      <c r="T68" s="1"/>
      <c r="U68" s="1"/>
      <c r="V68" s="1"/>
      <c r="W68" s="1" t="str">
        <f>"2023-08-21T00:00:00"</f>
        <v>2023-08-21T00:00:00</v>
      </c>
      <c r="X68" s="1" t="str">
        <f>"198"</f>
        <v>198</v>
      </c>
      <c r="Y68" s="1"/>
      <c r="Z68" s="1" t="s">
        <v>366</v>
      </c>
      <c r="AA68" s="1" t="s">
        <v>111</v>
      </c>
      <c r="AB68" s="1"/>
      <c r="AC68" s="1"/>
      <c r="AD68" s="1"/>
      <c r="AE68" s="1" t="s">
        <v>138</v>
      </c>
      <c r="AF68" s="1" t="s">
        <v>200</v>
      </c>
      <c r="AG68" s="1">
        <v>1.3</v>
      </c>
      <c r="AH68" s="1" t="s">
        <v>114</v>
      </c>
      <c r="AI68" s="1" t="s">
        <v>218</v>
      </c>
      <c r="AJ68" s="1" t="s">
        <v>219</v>
      </c>
      <c r="AK68" s="1"/>
      <c r="AL68" s="1"/>
      <c r="AM68" s="1"/>
      <c r="AN68" s="1" t="s">
        <v>117</v>
      </c>
      <c r="AO68" s="1" t="s">
        <v>118</v>
      </c>
      <c r="AP68" s="1" t="str">
        <f>"14"</f>
        <v>14</v>
      </c>
      <c r="AQ68" s="1" t="str">
        <f>"14"</f>
        <v>14</v>
      </c>
      <c r="AR68" s="1" t="str">
        <f>"12"</f>
        <v>12</v>
      </c>
      <c r="AS68" s="1" t="str">
        <f>"12"</f>
        <v>12</v>
      </c>
      <c r="AT68" s="1" t="str">
        <f>"0"</f>
        <v>0</v>
      </c>
      <c r="AU68" s="1" t="str">
        <f>"guleka_01_09@mail.ru"</f>
        <v>guleka_01_09@mail.ru</v>
      </c>
      <c r="AV68" s="1" t="str">
        <f>"87787315307"</f>
        <v>87787315307</v>
      </c>
      <c r="AW68" s="1" t="s">
        <v>139</v>
      </c>
      <c r="AX68" s="1" t="s">
        <v>389</v>
      </c>
      <c r="AY68" s="1"/>
      <c r="AZ68" s="1" t="s">
        <v>183</v>
      </c>
      <c r="BA68" s="1"/>
      <c r="BB68" s="1"/>
      <c r="BC68" s="1"/>
      <c r="BD68" s="1" t="s">
        <v>205</v>
      </c>
      <c r="BE68" s="1" t="s">
        <v>122</v>
      </c>
      <c r="BF68" s="1">
        <v>1.3</v>
      </c>
      <c r="BG68" s="1" t="str">
        <f>"[20]"</f>
        <v>[20]</v>
      </c>
      <c r="BH68" s="1" t="s">
        <v>118</v>
      </c>
      <c r="BI68" s="1">
        <v>0</v>
      </c>
      <c r="BJ68" s="1"/>
      <c r="BK68" s="1"/>
      <c r="BL68" s="1"/>
      <c r="BM68" s="1"/>
      <c r="BN68" s="1" t="s">
        <v>154</v>
      </c>
      <c r="BO68" s="1"/>
      <c r="BP68" s="1"/>
      <c r="BQ68" s="1"/>
      <c r="BR68" s="1" t="s">
        <v>131</v>
      </c>
      <c r="BS68" s="1"/>
      <c r="BT68" s="1"/>
      <c r="BU68" s="1" t="s">
        <v>733</v>
      </c>
      <c r="BV68" s="1" t="s">
        <v>734</v>
      </c>
      <c r="BW68" s="1" t="s">
        <v>735</v>
      </c>
      <c r="BX68" s="1" t="s">
        <v>736</v>
      </c>
      <c r="BY68" s="1" t="s">
        <v>737</v>
      </c>
      <c r="BZ68" s="1" t="s">
        <v>738</v>
      </c>
      <c r="CA68" s="1" t="s">
        <v>739</v>
      </c>
      <c r="CB68" s="1" t="s">
        <v>740</v>
      </c>
      <c r="CC68" s="1" t="s">
        <v>741</v>
      </c>
      <c r="CD68" s="1" t="s">
        <v>164</v>
      </c>
      <c r="CE68" s="1" t="s">
        <v>229</v>
      </c>
      <c r="CF68" s="3">
        <v>45383</v>
      </c>
      <c r="CG68" s="1"/>
      <c r="CH68" s="1"/>
      <c r="CI68" s="1" t="str">
        <f t="shared" si="5"/>
        <v>0</v>
      </c>
      <c r="CJ68" s="1"/>
      <c r="CK68" s="1"/>
      <c r="CL68" s="1" t="s">
        <v>131</v>
      </c>
      <c r="CM68" s="1"/>
      <c r="CN68" s="1" t="s">
        <v>132</v>
      </c>
      <c r="CO68" s="1" t="s">
        <v>230</v>
      </c>
    </row>
    <row r="69" spans="1:93" hidden="1" x14ac:dyDescent="0.3">
      <c r="A69" s="1">
        <v>2779811</v>
      </c>
      <c r="B69" s="1">
        <v>157124</v>
      </c>
      <c r="C69" s="1" t="str">
        <f>"730216350607"</f>
        <v>730216350607</v>
      </c>
      <c r="D69" s="1" t="s">
        <v>742</v>
      </c>
      <c r="E69" s="1" t="s">
        <v>743</v>
      </c>
      <c r="F69" s="1"/>
      <c r="G69" s="2">
        <v>26711</v>
      </c>
      <c r="H69" s="1"/>
      <c r="I69" s="1" t="s">
        <v>496</v>
      </c>
      <c r="J69" s="1" t="s">
        <v>107</v>
      </c>
      <c r="K69" s="1" t="s">
        <v>108</v>
      </c>
      <c r="L69" s="1"/>
      <c r="M69" s="1"/>
      <c r="N69" s="1"/>
      <c r="O69" s="1"/>
      <c r="P69" s="1" t="s">
        <v>497</v>
      </c>
      <c r="Q69" s="1" t="s">
        <v>136</v>
      </c>
      <c r="R69" s="1"/>
      <c r="S69" s="1"/>
      <c r="T69" s="1"/>
      <c r="U69" s="1"/>
      <c r="V69" s="1"/>
      <c r="W69" s="1" t="str">
        <f>"2023-02-02T00:00:00"</f>
        <v>2023-02-02T00:00:00</v>
      </c>
      <c r="X69" s="1" t="str">
        <f>"31/1"</f>
        <v>31/1</v>
      </c>
      <c r="Y69" s="1"/>
      <c r="Z69" s="1" t="s">
        <v>488</v>
      </c>
      <c r="AA69" s="1" t="s">
        <v>703</v>
      </c>
      <c r="AB69" s="1"/>
      <c r="AC69" s="1"/>
      <c r="AD69" s="1"/>
      <c r="AE69" s="1" t="s">
        <v>138</v>
      </c>
      <c r="AF69" s="1" t="s">
        <v>113</v>
      </c>
      <c r="AG69" s="1">
        <v>0.6</v>
      </c>
      <c r="AH69" s="1" t="s">
        <v>705</v>
      </c>
      <c r="AI69" s="1" t="s">
        <v>115</v>
      </c>
      <c r="AJ69" s="1" t="s">
        <v>116</v>
      </c>
      <c r="AK69" s="1"/>
      <c r="AL69" s="1"/>
      <c r="AM69" s="1"/>
      <c r="AN69" s="1" t="s">
        <v>117</v>
      </c>
      <c r="AO69" s="1" t="s">
        <v>118</v>
      </c>
      <c r="AP69" s="1" t="str">
        <f>"23"</f>
        <v>23</v>
      </c>
      <c r="AQ69" s="1" t="str">
        <f>"24"</f>
        <v>24</v>
      </c>
      <c r="AR69" s="1" t="str">
        <f>"23"</f>
        <v>23</v>
      </c>
      <c r="AS69" s="1" t="str">
        <f>"23"</f>
        <v>23</v>
      </c>
      <c r="AT69" s="1" t="str">
        <f>"1"</f>
        <v>1</v>
      </c>
      <c r="AU69" s="1" t="str">
        <f>"bokenbaj73@bk.ru"</f>
        <v>bokenbaj73@bk.ru</v>
      </c>
      <c r="AV69" s="1" t="str">
        <f>"87164563020"</f>
        <v>87164563020</v>
      </c>
      <c r="AW69" s="1" t="s">
        <v>119</v>
      </c>
      <c r="AX69" s="1" t="s">
        <v>153</v>
      </c>
      <c r="AY69" s="1"/>
      <c r="AZ69" s="1" t="s">
        <v>183</v>
      </c>
      <c r="BA69" s="1"/>
      <c r="BB69" s="1"/>
      <c r="BC69" s="1"/>
      <c r="BD69" s="1" t="s">
        <v>390</v>
      </c>
      <c r="BE69" s="1" t="s">
        <v>122</v>
      </c>
      <c r="BF69" s="1">
        <v>0.6</v>
      </c>
      <c r="BG69" s="1" t="str">
        <f>"[9]"</f>
        <v>[9]</v>
      </c>
      <c r="BH69" s="1" t="s">
        <v>744</v>
      </c>
      <c r="BI69" s="1">
        <v>1</v>
      </c>
      <c r="BJ69" s="1"/>
      <c r="BK69" s="1"/>
      <c r="BL69" s="1"/>
      <c r="BM69" s="1"/>
      <c r="BN69" s="1" t="s">
        <v>745</v>
      </c>
      <c r="BO69" s="1"/>
      <c r="BP69" s="1"/>
      <c r="BQ69" s="1"/>
      <c r="BR69" s="1" t="s">
        <v>136</v>
      </c>
      <c r="BS69" s="1"/>
      <c r="BT69" s="1"/>
      <c r="BU69" s="1" t="s">
        <v>746</v>
      </c>
      <c r="BV69" s="1" t="s">
        <v>747</v>
      </c>
      <c r="BW69" s="1" t="s">
        <v>748</v>
      </c>
      <c r="BX69" s="1" t="s">
        <v>749</v>
      </c>
      <c r="BY69" s="1" t="s">
        <v>750</v>
      </c>
      <c r="BZ69" s="1" t="s">
        <v>751</v>
      </c>
      <c r="CA69" s="1" t="s">
        <v>752</v>
      </c>
      <c r="CB69" s="1" t="s">
        <v>753</v>
      </c>
      <c r="CC69" s="1" t="s">
        <v>754</v>
      </c>
      <c r="CD69" s="1" t="s">
        <v>390</v>
      </c>
      <c r="CE69" s="1" t="s">
        <v>755</v>
      </c>
      <c r="CF69" s="1" t="s">
        <v>146</v>
      </c>
      <c r="CG69" s="1"/>
      <c r="CH69" s="1"/>
      <c r="CI69" s="1" t="str">
        <f t="shared" si="5"/>
        <v>0</v>
      </c>
      <c r="CJ69" s="1"/>
      <c r="CK69" s="1"/>
      <c r="CL69" s="1" t="s">
        <v>136</v>
      </c>
      <c r="CM69" s="1"/>
      <c r="CN69" s="1" t="s">
        <v>132</v>
      </c>
      <c r="CO69" s="1" t="s">
        <v>118</v>
      </c>
    </row>
    <row r="70" spans="1:93" x14ac:dyDescent="0.3">
      <c r="A70" s="1">
        <v>2779813</v>
      </c>
      <c r="B70" s="1">
        <v>1771879</v>
      </c>
      <c r="C70" s="1" t="str">
        <f>"660514350156"</f>
        <v>660514350156</v>
      </c>
      <c r="D70" s="1" t="s">
        <v>756</v>
      </c>
      <c r="E70" s="1" t="s">
        <v>757</v>
      </c>
      <c r="F70" s="1" t="s">
        <v>758</v>
      </c>
      <c r="G70" s="2">
        <v>24241</v>
      </c>
      <c r="H70" s="1"/>
      <c r="I70" s="1" t="s">
        <v>496</v>
      </c>
      <c r="J70" s="1" t="s">
        <v>107</v>
      </c>
      <c r="K70" s="1" t="s">
        <v>198</v>
      </c>
      <c r="L70" s="1"/>
      <c r="M70" s="1"/>
      <c r="N70" s="1"/>
      <c r="O70" s="1"/>
      <c r="P70" s="1" t="s">
        <v>109</v>
      </c>
      <c r="Q70" s="1" t="s">
        <v>136</v>
      </c>
      <c r="R70" s="1"/>
      <c r="S70" s="1"/>
      <c r="T70" s="1"/>
      <c r="U70" s="1"/>
      <c r="V70" s="1"/>
      <c r="W70" s="1" t="str">
        <f>"2022-11-01T00:00:00"</f>
        <v>2022-11-01T00:00:00</v>
      </c>
      <c r="X70" s="1" t="str">
        <f>"199/1"</f>
        <v>199/1</v>
      </c>
      <c r="Y70" s="1"/>
      <c r="Z70" s="1" t="s">
        <v>488</v>
      </c>
      <c r="AA70" s="1" t="s">
        <v>703</v>
      </c>
      <c r="AB70" s="1"/>
      <c r="AC70" s="1"/>
      <c r="AD70" s="1"/>
      <c r="AE70" s="1" t="s">
        <v>138</v>
      </c>
      <c r="AF70" s="1" t="s">
        <v>759</v>
      </c>
      <c r="AG70" s="1">
        <v>1</v>
      </c>
      <c r="AH70" s="1" t="s">
        <v>705</v>
      </c>
      <c r="AI70" s="1" t="s">
        <v>115</v>
      </c>
      <c r="AJ70" s="1" t="s">
        <v>441</v>
      </c>
      <c r="AK70" s="1"/>
      <c r="AL70" s="1"/>
      <c r="AM70" s="1"/>
      <c r="AN70" s="1" t="s">
        <v>442</v>
      </c>
      <c r="AO70" s="1"/>
      <c r="AP70" s="1" t="str">
        <f>"35"</f>
        <v>35</v>
      </c>
      <c r="AQ70" s="1" t="str">
        <f>"36"</f>
        <v>36</v>
      </c>
      <c r="AR70" s="1"/>
      <c r="AS70" s="1" t="str">
        <f>"0"</f>
        <v>0</v>
      </c>
      <c r="AT70" s="1" t="str">
        <f>"1"</f>
        <v>1</v>
      </c>
      <c r="AU70" s="1"/>
      <c r="AV70" s="1"/>
      <c r="AW70" s="1"/>
      <c r="AX70" s="1"/>
      <c r="AY70" s="1"/>
      <c r="AZ70" s="1"/>
      <c r="BA70" s="1"/>
      <c r="BB70" s="1"/>
      <c r="BC70" s="1"/>
      <c r="BD70" s="1"/>
      <c r="BE70" s="1"/>
      <c r="BF70" s="1"/>
      <c r="BG70" s="1"/>
      <c r="BH70" s="1" t="s">
        <v>118</v>
      </c>
      <c r="BI70" s="1">
        <v>0</v>
      </c>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row>
    <row r="71" spans="1:93" x14ac:dyDescent="0.3">
      <c r="A71" s="1">
        <v>2779815</v>
      </c>
      <c r="B71" s="1">
        <v>1771880</v>
      </c>
      <c r="C71" s="1" t="str">
        <f>"910309450904"</f>
        <v>910309450904</v>
      </c>
      <c r="D71" s="1" t="s">
        <v>760</v>
      </c>
      <c r="E71" s="1" t="s">
        <v>134</v>
      </c>
      <c r="F71" s="1" t="s">
        <v>761</v>
      </c>
      <c r="G71" s="2">
        <v>33306</v>
      </c>
      <c r="H71" s="1"/>
      <c r="I71" s="1" t="s">
        <v>106</v>
      </c>
      <c r="J71" s="1" t="s">
        <v>107</v>
      </c>
      <c r="K71" s="1" t="s">
        <v>108</v>
      </c>
      <c r="L71" s="1"/>
      <c r="M71" s="1"/>
      <c r="N71" s="1"/>
      <c r="O71" s="1"/>
      <c r="P71" s="1" t="s">
        <v>109</v>
      </c>
      <c r="Q71" s="1" t="s">
        <v>136</v>
      </c>
      <c r="R71" s="1"/>
      <c r="S71" s="1"/>
      <c r="T71" s="1"/>
      <c r="U71" s="1"/>
      <c r="V71" s="1"/>
      <c r="W71" s="1" t="str">
        <f>"2022-11-01T00:00:00"</f>
        <v>2022-11-01T00:00:00</v>
      </c>
      <c r="X71" s="1" t="str">
        <f>"200"</f>
        <v>200</v>
      </c>
      <c r="Y71" s="1"/>
      <c r="Z71" s="1" t="s">
        <v>488</v>
      </c>
      <c r="AA71" s="1" t="s">
        <v>111</v>
      </c>
      <c r="AB71" s="1"/>
      <c r="AC71" s="1"/>
      <c r="AD71" s="1"/>
      <c r="AE71" s="1" t="s">
        <v>138</v>
      </c>
      <c r="AF71" s="1" t="s">
        <v>762</v>
      </c>
      <c r="AG71" s="1">
        <v>1.5</v>
      </c>
      <c r="AH71" s="1" t="s">
        <v>114</v>
      </c>
      <c r="AI71" s="1" t="s">
        <v>115</v>
      </c>
      <c r="AJ71" s="1" t="s">
        <v>441</v>
      </c>
      <c r="AK71" s="1"/>
      <c r="AL71" s="1"/>
      <c r="AM71" s="1"/>
      <c r="AN71" s="1" t="s">
        <v>442</v>
      </c>
      <c r="AO71" s="1"/>
      <c r="AP71" s="1" t="str">
        <f>"5"</f>
        <v>5</v>
      </c>
      <c r="AQ71" s="1" t="str">
        <f>"6"</f>
        <v>6</v>
      </c>
      <c r="AR71" s="1"/>
      <c r="AS71" s="1" t="str">
        <f>"0"</f>
        <v>0</v>
      </c>
      <c r="AT71" s="1" t="str">
        <f>"1"</f>
        <v>1</v>
      </c>
      <c r="AU71" s="1"/>
      <c r="AV71" s="1"/>
      <c r="AW71" s="1"/>
      <c r="AX71" s="1"/>
      <c r="AY71" s="1"/>
      <c r="AZ71" s="1"/>
      <c r="BA71" s="1"/>
      <c r="BB71" s="1"/>
      <c r="BC71" s="1"/>
      <c r="BD71" s="1"/>
      <c r="BE71" s="1"/>
      <c r="BF71" s="1"/>
      <c r="BG71" s="1"/>
      <c r="BH71" s="1" t="s">
        <v>118</v>
      </c>
      <c r="BI71" s="1">
        <v>0</v>
      </c>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row>
    <row r="72" spans="1:93" x14ac:dyDescent="0.3">
      <c r="A72" s="1">
        <v>2779816</v>
      </c>
      <c r="B72" s="1">
        <v>165780</v>
      </c>
      <c r="C72" s="1" t="str">
        <f>"690412350167"</f>
        <v>690412350167</v>
      </c>
      <c r="D72" s="1" t="s">
        <v>763</v>
      </c>
      <c r="E72" s="1" t="s">
        <v>764</v>
      </c>
      <c r="F72" s="1" t="s">
        <v>765</v>
      </c>
      <c r="G72" s="2">
        <v>25305</v>
      </c>
      <c r="H72" s="1"/>
      <c r="I72" s="1" t="s">
        <v>496</v>
      </c>
      <c r="J72" s="1" t="s">
        <v>107</v>
      </c>
      <c r="K72" s="1" t="s">
        <v>108</v>
      </c>
      <c r="L72" s="1"/>
      <c r="M72" s="1"/>
      <c r="N72" s="1"/>
      <c r="O72" s="1"/>
      <c r="P72" s="1" t="s">
        <v>766</v>
      </c>
      <c r="Q72" s="1" t="s">
        <v>136</v>
      </c>
      <c r="R72" s="1"/>
      <c r="S72" s="1"/>
      <c r="T72" s="1"/>
      <c r="U72" s="1"/>
      <c r="V72" s="1"/>
      <c r="W72" s="1" t="str">
        <f>"2022-11-23T00:00:00"</f>
        <v>2022-11-23T00:00:00</v>
      </c>
      <c r="X72" s="1" t="str">
        <f>"222"</f>
        <v>222</v>
      </c>
      <c r="Y72" s="1"/>
      <c r="Z72" s="1" t="s">
        <v>488</v>
      </c>
      <c r="AA72" s="1" t="s">
        <v>111</v>
      </c>
      <c r="AB72" s="1"/>
      <c r="AC72" s="1"/>
      <c r="AD72" s="1"/>
      <c r="AE72" s="1" t="s">
        <v>138</v>
      </c>
      <c r="AF72" s="1" t="s">
        <v>767</v>
      </c>
      <c r="AG72" s="1">
        <v>1</v>
      </c>
      <c r="AH72" s="1" t="s">
        <v>114</v>
      </c>
      <c r="AI72" s="1" t="s">
        <v>115</v>
      </c>
      <c r="AJ72" s="1" t="s">
        <v>441</v>
      </c>
      <c r="AK72" s="1"/>
      <c r="AL72" s="1"/>
      <c r="AM72" s="1"/>
      <c r="AN72" s="1" t="s">
        <v>442</v>
      </c>
      <c r="AO72" s="1"/>
      <c r="AP72" s="1" t="str">
        <f>"33"</f>
        <v>33</v>
      </c>
      <c r="AQ72" s="1" t="str">
        <f>"34"</f>
        <v>34</v>
      </c>
      <c r="AR72" s="1"/>
      <c r="AS72" s="1" t="str">
        <f>"0"</f>
        <v>0</v>
      </c>
      <c r="AT72" s="1" t="str">
        <f>"1"</f>
        <v>1</v>
      </c>
      <c r="AU72" s="1"/>
      <c r="AV72" s="1"/>
      <c r="AW72" s="1"/>
      <c r="AX72" s="1"/>
      <c r="AY72" s="1"/>
      <c r="AZ72" s="1"/>
      <c r="BA72" s="1"/>
      <c r="BB72" s="1"/>
      <c r="BC72" s="1"/>
      <c r="BD72" s="1"/>
      <c r="BE72" s="1"/>
      <c r="BF72" s="1"/>
      <c r="BG72" s="1"/>
      <c r="BH72" s="1" t="s">
        <v>118</v>
      </c>
      <c r="BI72" s="1">
        <v>0</v>
      </c>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row>
    <row r="73" spans="1:93" x14ac:dyDescent="0.3">
      <c r="A73" s="1">
        <v>2779817</v>
      </c>
      <c r="B73" s="1">
        <v>1771881</v>
      </c>
      <c r="C73" s="1" t="str">
        <f>"721024450660"</f>
        <v>721024450660</v>
      </c>
      <c r="D73" s="1" t="s">
        <v>214</v>
      </c>
      <c r="E73" s="1" t="s">
        <v>768</v>
      </c>
      <c r="F73" s="1" t="s">
        <v>769</v>
      </c>
      <c r="G73" s="2">
        <v>26596</v>
      </c>
      <c r="H73" s="1"/>
      <c r="I73" s="1" t="s">
        <v>106</v>
      </c>
      <c r="J73" s="1" t="s">
        <v>107</v>
      </c>
      <c r="K73" s="1" t="s">
        <v>108</v>
      </c>
      <c r="L73" s="1"/>
      <c r="M73" s="1"/>
      <c r="N73" s="1"/>
      <c r="O73" s="1"/>
      <c r="P73" s="1" t="s">
        <v>109</v>
      </c>
      <c r="Q73" s="1" t="s">
        <v>136</v>
      </c>
      <c r="R73" s="1"/>
      <c r="S73" s="1"/>
      <c r="T73" s="1"/>
      <c r="U73" s="1"/>
      <c r="V73" s="1"/>
      <c r="W73" s="1" t="str">
        <f>"2023-07-04T00:00:00"</f>
        <v>2023-07-04T00:00:00</v>
      </c>
      <c r="X73" s="1" t="str">
        <f>"165"</f>
        <v>165</v>
      </c>
      <c r="Y73" s="1"/>
      <c r="Z73" s="1" t="s">
        <v>488</v>
      </c>
      <c r="AA73" s="1" t="s">
        <v>111</v>
      </c>
      <c r="AB73" s="1"/>
      <c r="AC73" s="1"/>
      <c r="AD73" s="1"/>
      <c r="AE73" s="1" t="s">
        <v>138</v>
      </c>
      <c r="AF73" s="1" t="s">
        <v>440</v>
      </c>
      <c r="AG73" s="1">
        <v>1.5</v>
      </c>
      <c r="AH73" s="1" t="s">
        <v>114</v>
      </c>
      <c r="AI73" s="1" t="s">
        <v>115</v>
      </c>
      <c r="AJ73" s="1" t="s">
        <v>441</v>
      </c>
      <c r="AK73" s="1"/>
      <c r="AL73" s="1"/>
      <c r="AM73" s="1"/>
      <c r="AN73" s="1" t="s">
        <v>442</v>
      </c>
      <c r="AO73" s="1"/>
      <c r="AP73" s="1" t="str">
        <f>"35"</f>
        <v>35</v>
      </c>
      <c r="AQ73" s="1" t="str">
        <f>"35"</f>
        <v>35</v>
      </c>
      <c r="AR73" s="1"/>
      <c r="AS73" s="1" t="str">
        <f>"0"</f>
        <v>0</v>
      </c>
      <c r="AT73" s="1" t="str">
        <f t="shared" ref="AT73:AT102" si="6">"0"</f>
        <v>0</v>
      </c>
      <c r="AU73" s="1"/>
      <c r="AV73" s="1"/>
      <c r="AW73" s="1"/>
      <c r="AX73" s="1"/>
      <c r="AY73" s="1"/>
      <c r="AZ73" s="1"/>
      <c r="BA73" s="1"/>
      <c r="BB73" s="1"/>
      <c r="BC73" s="1"/>
      <c r="BD73" s="1"/>
      <c r="BE73" s="1"/>
      <c r="BF73" s="1"/>
      <c r="BG73" s="1"/>
      <c r="BH73" s="1" t="s">
        <v>118</v>
      </c>
      <c r="BI73" s="1">
        <v>0</v>
      </c>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row>
    <row r="74" spans="1:93" hidden="1" x14ac:dyDescent="0.3">
      <c r="A74" s="1">
        <v>2779819</v>
      </c>
      <c r="B74" s="1">
        <v>154323</v>
      </c>
      <c r="C74" s="1" t="str">
        <f>"710210401202"</f>
        <v>710210401202</v>
      </c>
      <c r="D74" s="1" t="s">
        <v>770</v>
      </c>
      <c r="E74" s="1" t="s">
        <v>771</v>
      </c>
      <c r="F74" s="1" t="s">
        <v>772</v>
      </c>
      <c r="G74" s="2">
        <v>25974</v>
      </c>
      <c r="H74" s="1"/>
      <c r="I74" s="1" t="s">
        <v>106</v>
      </c>
      <c r="J74" s="1" t="s">
        <v>107</v>
      </c>
      <c r="K74" s="1" t="s">
        <v>108</v>
      </c>
      <c r="L74" s="1"/>
      <c r="M74" s="1"/>
      <c r="N74" s="1"/>
      <c r="O74" s="1"/>
      <c r="P74" s="1" t="s">
        <v>109</v>
      </c>
      <c r="Q74" s="1" t="s">
        <v>136</v>
      </c>
      <c r="R74" s="1"/>
      <c r="S74" s="1"/>
      <c r="T74" s="1"/>
      <c r="U74" s="1"/>
      <c r="V74" s="1"/>
      <c r="W74" s="1" t="str">
        <f>"2023-08-16T00:00:00"</f>
        <v>2023-08-16T00:00:00</v>
      </c>
      <c r="X74" s="1" t="str">
        <f>"197"</f>
        <v>197</v>
      </c>
      <c r="Y74" s="1"/>
      <c r="Z74" s="1" t="s">
        <v>366</v>
      </c>
      <c r="AA74" s="1" t="s">
        <v>111</v>
      </c>
      <c r="AB74" s="1"/>
      <c r="AC74" s="1"/>
      <c r="AD74" s="1"/>
      <c r="AE74" s="1" t="s">
        <v>138</v>
      </c>
      <c r="AF74" s="1" t="s">
        <v>113</v>
      </c>
      <c r="AG74" s="1">
        <v>1.5</v>
      </c>
      <c r="AH74" s="1" t="s">
        <v>114</v>
      </c>
      <c r="AI74" s="1" t="s">
        <v>115</v>
      </c>
      <c r="AJ74" s="1" t="s">
        <v>116</v>
      </c>
      <c r="AK74" s="1" t="s">
        <v>136</v>
      </c>
      <c r="AL74" s="1"/>
      <c r="AM74" s="1"/>
      <c r="AN74" s="1" t="s">
        <v>117</v>
      </c>
      <c r="AO74" s="1" t="s">
        <v>118</v>
      </c>
      <c r="AP74" s="1" t="str">
        <f>"31"</f>
        <v>31</v>
      </c>
      <c r="AQ74" s="1" t="str">
        <f>"31"</f>
        <v>31</v>
      </c>
      <c r="AR74" s="1" t="str">
        <f>"31"</f>
        <v>31</v>
      </c>
      <c r="AS74" s="1" t="str">
        <f>"31"</f>
        <v>31</v>
      </c>
      <c r="AT74" s="1" t="str">
        <f t="shared" si="6"/>
        <v>0</v>
      </c>
      <c r="AU74" s="1" t="str">
        <f>"saule.akylbekova.71@mail.ru"</f>
        <v>saule.akylbekova.71@mail.ru</v>
      </c>
      <c r="AV74" s="1" t="str">
        <f>"87712975122"</f>
        <v>87712975122</v>
      </c>
      <c r="AW74" s="1" t="s">
        <v>139</v>
      </c>
      <c r="AX74" s="1" t="s">
        <v>389</v>
      </c>
      <c r="AY74" s="1" t="s">
        <v>203</v>
      </c>
      <c r="AZ74" s="1" t="s">
        <v>183</v>
      </c>
      <c r="BA74" s="1"/>
      <c r="BB74" s="1"/>
      <c r="BC74" s="1"/>
      <c r="BD74" s="1" t="s">
        <v>141</v>
      </c>
      <c r="BE74" s="1" t="s">
        <v>122</v>
      </c>
      <c r="BF74" s="1">
        <v>1.5</v>
      </c>
      <c r="BG74" s="1" t="str">
        <f>"[24]"</f>
        <v>[24]</v>
      </c>
      <c r="BH74" s="1" t="s">
        <v>773</v>
      </c>
      <c r="BI74" s="1">
        <v>0.7</v>
      </c>
      <c r="BJ74" s="1" t="s">
        <v>119</v>
      </c>
      <c r="BK74" s="1"/>
      <c r="BL74" s="1" t="s">
        <v>164</v>
      </c>
      <c r="BM74" s="1">
        <v>0</v>
      </c>
      <c r="BN74" s="1" t="s">
        <v>154</v>
      </c>
      <c r="BO74" s="1"/>
      <c r="BP74" s="1"/>
      <c r="BQ74" s="1"/>
      <c r="BR74" s="1" t="s">
        <v>131</v>
      </c>
      <c r="BS74" s="1"/>
      <c r="BT74" s="1"/>
      <c r="BU74" s="1" t="s">
        <v>774</v>
      </c>
      <c r="BV74" s="1" t="s">
        <v>775</v>
      </c>
      <c r="BW74" s="1" t="s">
        <v>776</v>
      </c>
      <c r="BX74" s="1" t="s">
        <v>419</v>
      </c>
      <c r="BY74" s="1" t="s">
        <v>777</v>
      </c>
      <c r="BZ74" s="1" t="s">
        <v>778</v>
      </c>
      <c r="CA74" s="1" t="s">
        <v>779</v>
      </c>
      <c r="CB74" s="1" t="s">
        <v>780</v>
      </c>
      <c r="CC74" s="1" t="s">
        <v>781</v>
      </c>
      <c r="CD74" s="1" t="s">
        <v>164</v>
      </c>
      <c r="CE74" s="1" t="s">
        <v>782</v>
      </c>
      <c r="CF74" s="1" t="s">
        <v>146</v>
      </c>
      <c r="CG74" s="1"/>
      <c r="CH74" s="1"/>
      <c r="CI74" s="1" t="str">
        <f>"0"</f>
        <v>0</v>
      </c>
      <c r="CJ74" s="1"/>
      <c r="CK74" s="1"/>
      <c r="CL74" s="1" t="s">
        <v>136</v>
      </c>
      <c r="CM74" s="1"/>
      <c r="CN74" s="1" t="s">
        <v>132</v>
      </c>
      <c r="CO74" s="1" t="s">
        <v>118</v>
      </c>
    </row>
    <row r="75" spans="1:93" x14ac:dyDescent="0.3">
      <c r="A75" s="1">
        <v>2779899</v>
      </c>
      <c r="B75" s="1">
        <v>154556</v>
      </c>
      <c r="C75" s="1" t="str">
        <f>"661203450085"</f>
        <v>661203450085</v>
      </c>
      <c r="D75" s="1" t="s">
        <v>783</v>
      </c>
      <c r="E75" s="1" t="s">
        <v>239</v>
      </c>
      <c r="F75" s="1" t="s">
        <v>784</v>
      </c>
      <c r="G75" s="2">
        <v>24444</v>
      </c>
      <c r="H75" s="1"/>
      <c r="I75" s="1" t="s">
        <v>106</v>
      </c>
      <c r="J75" s="1" t="s">
        <v>107</v>
      </c>
      <c r="K75" s="1" t="s">
        <v>108</v>
      </c>
      <c r="L75" s="1"/>
      <c r="M75" s="1"/>
      <c r="N75" s="1"/>
      <c r="O75" s="1"/>
      <c r="P75" s="1" t="s">
        <v>109</v>
      </c>
      <c r="Q75" s="1" t="s">
        <v>136</v>
      </c>
      <c r="R75" s="1"/>
      <c r="S75" s="1"/>
      <c r="T75" s="1"/>
      <c r="U75" s="1"/>
      <c r="V75" s="1"/>
      <c r="W75" s="1" t="str">
        <f>"2023-08-01T00:00:00"</f>
        <v>2023-08-01T00:00:00</v>
      </c>
      <c r="X75" s="1" t="str">
        <f>"180"</f>
        <v>180</v>
      </c>
      <c r="Y75" s="1"/>
      <c r="Z75" s="1" t="s">
        <v>488</v>
      </c>
      <c r="AA75" s="1" t="s">
        <v>111</v>
      </c>
      <c r="AB75" s="1"/>
      <c r="AC75" s="1"/>
      <c r="AD75" s="1"/>
      <c r="AE75" s="1" t="s">
        <v>138</v>
      </c>
      <c r="AF75" s="1" t="s">
        <v>532</v>
      </c>
      <c r="AG75" s="1">
        <v>1</v>
      </c>
      <c r="AH75" s="1" t="s">
        <v>114</v>
      </c>
      <c r="AI75" s="1" t="s">
        <v>115</v>
      </c>
      <c r="AJ75" s="1" t="s">
        <v>446</v>
      </c>
      <c r="AK75" s="1"/>
      <c r="AL75" s="1"/>
      <c r="AM75" s="1"/>
      <c r="AN75" s="1" t="s">
        <v>442</v>
      </c>
      <c r="AO75" s="1"/>
      <c r="AP75" s="1" t="str">
        <f>"38"</f>
        <v>38</v>
      </c>
      <c r="AQ75" s="1" t="str">
        <f>"38"</f>
        <v>38</v>
      </c>
      <c r="AR75" s="1"/>
      <c r="AS75" s="1" t="str">
        <f>"0"</f>
        <v>0</v>
      </c>
      <c r="AT75" s="1" t="str">
        <f t="shared" si="6"/>
        <v>0</v>
      </c>
      <c r="AU75" s="1"/>
      <c r="AV75" s="1"/>
      <c r="AW75" s="1"/>
      <c r="AX75" s="1"/>
      <c r="AY75" s="1"/>
      <c r="AZ75" s="1"/>
      <c r="BA75" s="1"/>
      <c r="BB75" s="1"/>
      <c r="BC75" s="1"/>
      <c r="BD75" s="1"/>
      <c r="BE75" s="1"/>
      <c r="BF75" s="1"/>
      <c r="BG75" s="1"/>
      <c r="BH75" s="1" t="s">
        <v>118</v>
      </c>
      <c r="BI75" s="1">
        <v>0</v>
      </c>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row>
    <row r="76" spans="1:93" x14ac:dyDescent="0.3">
      <c r="A76" s="1">
        <v>2878766</v>
      </c>
      <c r="B76" s="1">
        <v>1692808</v>
      </c>
      <c r="C76" s="1" t="str">
        <f>"821025450954"</f>
        <v>821025450954</v>
      </c>
      <c r="D76" s="1" t="s">
        <v>785</v>
      </c>
      <c r="E76" s="1" t="s">
        <v>148</v>
      </c>
      <c r="F76" s="1" t="s">
        <v>786</v>
      </c>
      <c r="G76" s="2">
        <v>30249</v>
      </c>
      <c r="H76" s="1"/>
      <c r="I76" s="1" t="s">
        <v>106</v>
      </c>
      <c r="J76" s="1" t="s">
        <v>107</v>
      </c>
      <c r="K76" s="1" t="s">
        <v>108</v>
      </c>
      <c r="L76" s="1"/>
      <c r="M76" s="1"/>
      <c r="N76" s="1"/>
      <c r="O76" s="1"/>
      <c r="P76" s="1" t="s">
        <v>109</v>
      </c>
      <c r="Q76" s="1" t="s">
        <v>136</v>
      </c>
      <c r="R76" s="1"/>
      <c r="S76" s="1"/>
      <c r="T76" s="1"/>
      <c r="U76" s="1"/>
      <c r="V76" s="1"/>
      <c r="W76" s="1" t="str">
        <f>"2023-07-17T00:00:00"</f>
        <v>2023-07-17T00:00:00</v>
      </c>
      <c r="X76" s="1" t="str">
        <f>"172"</f>
        <v>172</v>
      </c>
      <c r="Y76" s="1"/>
      <c r="Z76" s="1" t="s">
        <v>110</v>
      </c>
      <c r="AA76" s="1" t="s">
        <v>703</v>
      </c>
      <c r="AB76" s="1"/>
      <c r="AC76" s="1"/>
      <c r="AD76" s="1"/>
      <c r="AE76" s="1" t="s">
        <v>138</v>
      </c>
      <c r="AF76" s="1" t="s">
        <v>787</v>
      </c>
      <c r="AG76" s="1">
        <v>1</v>
      </c>
      <c r="AH76" s="1" t="s">
        <v>705</v>
      </c>
      <c r="AI76" s="1" t="s">
        <v>115</v>
      </c>
      <c r="AJ76" s="1" t="s">
        <v>706</v>
      </c>
      <c r="AK76" s="1"/>
      <c r="AL76" s="1"/>
      <c r="AM76" s="1"/>
      <c r="AN76" s="1" t="s">
        <v>442</v>
      </c>
      <c r="AO76" s="1"/>
      <c r="AP76" s="1" t="str">
        <f>"18"</f>
        <v>18</v>
      </c>
      <c r="AQ76" s="1" t="str">
        <f>"18"</f>
        <v>18</v>
      </c>
      <c r="AR76" s="1"/>
      <c r="AS76" s="1" t="str">
        <f>"0"</f>
        <v>0</v>
      </c>
      <c r="AT76" s="1" t="str">
        <f t="shared" si="6"/>
        <v>0</v>
      </c>
      <c r="AU76" s="1"/>
      <c r="AV76" s="1"/>
      <c r="AW76" s="1"/>
      <c r="AX76" s="1"/>
      <c r="AY76" s="1"/>
      <c r="AZ76" s="1"/>
      <c r="BA76" s="1"/>
      <c r="BB76" s="1"/>
      <c r="BC76" s="1"/>
      <c r="BD76" s="1"/>
      <c r="BE76" s="1"/>
      <c r="BF76" s="1"/>
      <c r="BG76" s="1"/>
      <c r="BH76" s="1" t="s">
        <v>788</v>
      </c>
      <c r="BI76" s="1">
        <v>0.5</v>
      </c>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row>
    <row r="77" spans="1:93" hidden="1" x14ac:dyDescent="0.3">
      <c r="A77" s="1">
        <v>2878772</v>
      </c>
      <c r="B77" s="1">
        <v>141525</v>
      </c>
      <c r="C77" s="1" t="str">
        <f>"731028401547"</f>
        <v>731028401547</v>
      </c>
      <c r="D77" s="1" t="s">
        <v>789</v>
      </c>
      <c r="E77" s="1" t="s">
        <v>790</v>
      </c>
      <c r="F77" s="1" t="s">
        <v>791</v>
      </c>
      <c r="G77" s="2">
        <v>26965</v>
      </c>
      <c r="H77" s="1"/>
      <c r="I77" s="1" t="s">
        <v>106</v>
      </c>
      <c r="J77" s="1" t="s">
        <v>107</v>
      </c>
      <c r="K77" s="1" t="s">
        <v>108</v>
      </c>
      <c r="L77" s="1"/>
      <c r="M77" s="1"/>
      <c r="N77" s="1"/>
      <c r="O77" s="1"/>
      <c r="P77" s="1" t="s">
        <v>109</v>
      </c>
      <c r="Q77" s="1" t="s">
        <v>136</v>
      </c>
      <c r="R77" s="1"/>
      <c r="S77" s="1"/>
      <c r="T77" s="1"/>
      <c r="U77" s="1"/>
      <c r="V77" s="1"/>
      <c r="W77" s="1" t="str">
        <f t="shared" ref="W77:W85" si="7">"2023-09-01T00:00:00"</f>
        <v>2023-09-01T00:00:00</v>
      </c>
      <c r="X77" s="1" t="str">
        <f t="shared" ref="X77:X82" si="8">"1"</f>
        <v>1</v>
      </c>
      <c r="Y77" s="1"/>
      <c r="Z77" s="1" t="s">
        <v>110</v>
      </c>
      <c r="AA77" s="1" t="s">
        <v>703</v>
      </c>
      <c r="AB77" s="1"/>
      <c r="AC77" s="1"/>
      <c r="AD77" s="1"/>
      <c r="AE77" s="1" t="s">
        <v>138</v>
      </c>
      <c r="AF77" s="1" t="s">
        <v>200</v>
      </c>
      <c r="AG77" s="1">
        <v>1.2</v>
      </c>
      <c r="AH77" s="1" t="s">
        <v>705</v>
      </c>
      <c r="AI77" s="1" t="s">
        <v>218</v>
      </c>
      <c r="AJ77" s="1" t="s">
        <v>219</v>
      </c>
      <c r="AK77" s="1"/>
      <c r="AL77" s="1"/>
      <c r="AM77" s="1"/>
      <c r="AN77" s="1" t="s">
        <v>117</v>
      </c>
      <c r="AO77" s="1" t="s">
        <v>118</v>
      </c>
      <c r="AP77" s="1" t="str">
        <f>"31"</f>
        <v>31</v>
      </c>
      <c r="AQ77" s="1" t="str">
        <f>"31"</f>
        <v>31</v>
      </c>
      <c r="AR77" s="1" t="str">
        <f>"31"</f>
        <v>31</v>
      </c>
      <c r="AS77" s="1" t="str">
        <f>"31"</f>
        <v>31</v>
      </c>
      <c r="AT77" s="1" t="str">
        <f t="shared" si="6"/>
        <v>0</v>
      </c>
      <c r="AU77" s="1" t="str">
        <f>"amarkulova777@mail.ru"</f>
        <v>amarkulova777@mail.ru</v>
      </c>
      <c r="AV77" s="1" t="str">
        <f>"87713725987"</f>
        <v>87713725987</v>
      </c>
      <c r="AW77" s="1" t="s">
        <v>220</v>
      </c>
      <c r="AX77" s="1" t="s">
        <v>389</v>
      </c>
      <c r="AY77" s="1"/>
      <c r="AZ77" s="1" t="s">
        <v>183</v>
      </c>
      <c r="BA77" s="1"/>
      <c r="BB77" s="1"/>
      <c r="BC77" s="1"/>
      <c r="BD77" s="1" t="s">
        <v>205</v>
      </c>
      <c r="BE77" s="1" t="s">
        <v>122</v>
      </c>
      <c r="BF77" s="1">
        <v>1.2</v>
      </c>
      <c r="BG77" s="1" t="str">
        <f>"[19]"</f>
        <v>[19]</v>
      </c>
      <c r="BH77" s="1" t="s">
        <v>118</v>
      </c>
      <c r="BI77" s="1">
        <v>0</v>
      </c>
      <c r="BJ77" s="1"/>
      <c r="BK77" s="1"/>
      <c r="BL77" s="1"/>
      <c r="BM77" s="1"/>
      <c r="BN77" s="1" t="s">
        <v>142</v>
      </c>
      <c r="BO77" s="1"/>
      <c r="BP77" s="1"/>
      <c r="BQ77" s="1"/>
      <c r="BR77" s="1" t="s">
        <v>131</v>
      </c>
      <c r="BS77" s="1"/>
      <c r="BT77" s="1"/>
      <c r="BU77" s="1" t="s">
        <v>522</v>
      </c>
      <c r="BV77" s="1" t="s">
        <v>792</v>
      </c>
      <c r="BW77" s="1" t="s">
        <v>793</v>
      </c>
      <c r="BX77" s="1" t="s">
        <v>794</v>
      </c>
      <c r="BY77" s="1" t="s">
        <v>619</v>
      </c>
      <c r="BZ77" s="1" t="s">
        <v>795</v>
      </c>
      <c r="CA77" s="1" t="s">
        <v>796</v>
      </c>
      <c r="CB77" s="1" t="s">
        <v>797</v>
      </c>
      <c r="CC77" s="1" t="s">
        <v>798</v>
      </c>
      <c r="CD77" s="1" t="s">
        <v>164</v>
      </c>
      <c r="CE77" s="1" t="s">
        <v>355</v>
      </c>
      <c r="CF77" s="3">
        <v>45383</v>
      </c>
      <c r="CG77" s="1"/>
      <c r="CH77" s="1"/>
      <c r="CI77" s="1" t="str">
        <f>"0"</f>
        <v>0</v>
      </c>
      <c r="CJ77" s="1"/>
      <c r="CK77" s="1"/>
      <c r="CL77" s="1" t="s">
        <v>131</v>
      </c>
      <c r="CM77" s="1"/>
      <c r="CN77" s="1" t="s">
        <v>132</v>
      </c>
      <c r="CO77" s="1" t="s">
        <v>194</v>
      </c>
    </row>
    <row r="78" spans="1:93" hidden="1" x14ac:dyDescent="0.3">
      <c r="A78" s="1">
        <v>2878774</v>
      </c>
      <c r="B78" s="1">
        <v>157750</v>
      </c>
      <c r="C78" s="1" t="str">
        <f>"520710300018"</f>
        <v>520710300018</v>
      </c>
      <c r="D78" s="1" t="s">
        <v>799</v>
      </c>
      <c r="E78" s="1" t="s">
        <v>800</v>
      </c>
      <c r="F78" s="1" t="s">
        <v>801</v>
      </c>
      <c r="G78" s="2">
        <v>19185</v>
      </c>
      <c r="H78" s="1"/>
      <c r="I78" s="1" t="s">
        <v>496</v>
      </c>
      <c r="J78" s="1" t="s">
        <v>107</v>
      </c>
      <c r="K78" s="1" t="s">
        <v>108</v>
      </c>
      <c r="L78" s="1"/>
      <c r="M78" s="1"/>
      <c r="N78" s="1"/>
      <c r="O78" s="1"/>
      <c r="P78" s="1" t="s">
        <v>109</v>
      </c>
      <c r="Q78" s="1" t="s">
        <v>136</v>
      </c>
      <c r="R78" s="1"/>
      <c r="S78" s="1"/>
      <c r="T78" s="1"/>
      <c r="U78" s="1"/>
      <c r="V78" s="1"/>
      <c r="W78" s="1" t="str">
        <f t="shared" si="7"/>
        <v>2023-09-01T00:00:00</v>
      </c>
      <c r="X78" s="1" t="str">
        <f t="shared" si="8"/>
        <v>1</v>
      </c>
      <c r="Y78" s="1"/>
      <c r="Z78" s="1" t="s">
        <v>110</v>
      </c>
      <c r="AA78" s="1" t="s">
        <v>703</v>
      </c>
      <c r="AB78" s="1"/>
      <c r="AC78" s="1"/>
      <c r="AD78" s="1"/>
      <c r="AE78" s="1" t="s">
        <v>138</v>
      </c>
      <c r="AF78" s="1" t="s">
        <v>113</v>
      </c>
      <c r="AG78" s="1">
        <v>0.1</v>
      </c>
      <c r="AH78" s="1" t="s">
        <v>705</v>
      </c>
      <c r="AI78" s="1" t="s">
        <v>115</v>
      </c>
      <c r="AJ78" s="1" t="s">
        <v>116</v>
      </c>
      <c r="AK78" s="1"/>
      <c r="AL78" s="1"/>
      <c r="AM78" s="1"/>
      <c r="AN78" s="1" t="s">
        <v>117</v>
      </c>
      <c r="AO78" s="1" t="s">
        <v>118</v>
      </c>
      <c r="AP78" s="1" t="str">
        <f>"25"</f>
        <v>25</v>
      </c>
      <c r="AQ78" s="1" t="str">
        <f>"25"</f>
        <v>25</v>
      </c>
      <c r="AR78" s="1" t="str">
        <f>"25"</f>
        <v>25</v>
      </c>
      <c r="AS78" s="1" t="str">
        <f>"25"</f>
        <v>25</v>
      </c>
      <c r="AT78" s="1" t="str">
        <f t="shared" si="6"/>
        <v>0</v>
      </c>
      <c r="AU78" s="1" t="str">
        <f>"duk_2006@mail.ru"</f>
        <v>duk_2006@mail.ru</v>
      </c>
      <c r="AV78" s="1" t="str">
        <f>"87015337243"</f>
        <v>87015337243</v>
      </c>
      <c r="AW78" s="1" t="s">
        <v>119</v>
      </c>
      <c r="AX78" s="1"/>
      <c r="AY78" s="1"/>
      <c r="AZ78" s="1" t="s">
        <v>120</v>
      </c>
      <c r="BA78" s="1"/>
      <c r="BB78" s="1"/>
      <c r="BC78" s="1"/>
      <c r="BD78" s="1" t="s">
        <v>501</v>
      </c>
      <c r="BE78" s="1" t="s">
        <v>122</v>
      </c>
      <c r="BF78" s="1">
        <v>0.1</v>
      </c>
      <c r="BG78" s="1" t="str">
        <f>"[2]"</f>
        <v>[2]</v>
      </c>
      <c r="BH78" s="1" t="s">
        <v>118</v>
      </c>
      <c r="BI78" s="1">
        <v>0</v>
      </c>
      <c r="BJ78" s="1"/>
      <c r="BK78" s="1"/>
      <c r="BL78" s="1"/>
      <c r="BM78" s="1"/>
      <c r="BN78" s="1" t="s">
        <v>142</v>
      </c>
      <c r="BO78" s="1"/>
      <c r="BP78" s="1"/>
      <c r="BQ78" s="1"/>
      <c r="BR78" s="1" t="s">
        <v>131</v>
      </c>
      <c r="BS78" s="1"/>
      <c r="BT78" s="1"/>
      <c r="BU78" s="1" t="s">
        <v>535</v>
      </c>
      <c r="BV78" s="1"/>
      <c r="BW78" s="1"/>
      <c r="BX78" s="1"/>
      <c r="BY78" s="1"/>
      <c r="BZ78" s="1"/>
      <c r="CA78" s="1"/>
      <c r="CB78" s="1"/>
      <c r="CC78" s="1"/>
      <c r="CD78" s="1" t="s">
        <v>164</v>
      </c>
      <c r="CE78" s="1" t="s">
        <v>802</v>
      </c>
      <c r="CF78" s="1" t="s">
        <v>146</v>
      </c>
      <c r="CG78" s="1"/>
      <c r="CH78" s="1"/>
      <c r="CI78" s="1" t="str">
        <f>"0"</f>
        <v>0</v>
      </c>
      <c r="CJ78" s="1"/>
      <c r="CK78" s="1"/>
      <c r="CL78" s="1" t="s">
        <v>136</v>
      </c>
      <c r="CM78" s="1"/>
      <c r="CN78" s="1" t="s">
        <v>132</v>
      </c>
      <c r="CO78" s="1" t="s">
        <v>118</v>
      </c>
    </row>
    <row r="79" spans="1:93" hidden="1" x14ac:dyDescent="0.3">
      <c r="A79" s="1">
        <v>2878775</v>
      </c>
      <c r="B79" s="1">
        <v>1316009</v>
      </c>
      <c r="C79" s="1" t="str">
        <f>"971106450855"</f>
        <v>971106450855</v>
      </c>
      <c r="D79" s="1" t="s">
        <v>803</v>
      </c>
      <c r="E79" s="1" t="s">
        <v>104</v>
      </c>
      <c r="F79" s="1" t="s">
        <v>804</v>
      </c>
      <c r="G79" s="2">
        <v>35740</v>
      </c>
      <c r="H79" s="1"/>
      <c r="I79" s="1" t="s">
        <v>106</v>
      </c>
      <c r="J79" s="1" t="s">
        <v>107</v>
      </c>
      <c r="K79" s="1" t="s">
        <v>108</v>
      </c>
      <c r="L79" s="1"/>
      <c r="M79" s="1"/>
      <c r="N79" s="1"/>
      <c r="O79" s="1"/>
      <c r="P79" s="1" t="s">
        <v>109</v>
      </c>
      <c r="Q79" s="1" t="s">
        <v>136</v>
      </c>
      <c r="R79" s="1"/>
      <c r="S79" s="1"/>
      <c r="T79" s="1"/>
      <c r="U79" s="1"/>
      <c r="V79" s="1"/>
      <c r="W79" s="1" t="str">
        <f t="shared" si="7"/>
        <v>2023-09-01T00:00:00</v>
      </c>
      <c r="X79" s="1" t="str">
        <f t="shared" si="8"/>
        <v>1</v>
      </c>
      <c r="Y79" s="1"/>
      <c r="Z79" s="1" t="s">
        <v>110</v>
      </c>
      <c r="AA79" s="1" t="s">
        <v>703</v>
      </c>
      <c r="AB79" s="1"/>
      <c r="AC79" s="1"/>
      <c r="AD79" s="1"/>
      <c r="AE79" s="1" t="s">
        <v>138</v>
      </c>
      <c r="AF79" s="1" t="s">
        <v>113</v>
      </c>
      <c r="AG79" s="1">
        <v>0.4</v>
      </c>
      <c r="AH79" s="1" t="s">
        <v>705</v>
      </c>
      <c r="AI79" s="1" t="s">
        <v>115</v>
      </c>
      <c r="AJ79" s="1" t="s">
        <v>116</v>
      </c>
      <c r="AK79" s="1"/>
      <c r="AL79" s="1"/>
      <c r="AM79" s="1"/>
      <c r="AN79" s="1" t="s">
        <v>117</v>
      </c>
      <c r="AO79" s="1" t="s">
        <v>118</v>
      </c>
      <c r="AP79" s="1" t="str">
        <f>"4"</f>
        <v>4</v>
      </c>
      <c r="AQ79" s="1" t="str">
        <f>"4"</f>
        <v>4</v>
      </c>
      <c r="AR79" s="1" t="str">
        <f>"4"</f>
        <v>4</v>
      </c>
      <c r="AS79" s="1" t="str">
        <f>"4"</f>
        <v>4</v>
      </c>
      <c r="AT79" s="1" t="str">
        <f t="shared" si="6"/>
        <v>0</v>
      </c>
      <c r="AU79" s="1" t="str">
        <f>"akmaral_19.97@mail.ru"</f>
        <v>akmaral_19.97@mail.ru</v>
      </c>
      <c r="AV79" s="1" t="str">
        <f>"87781218792"</f>
        <v>87781218792</v>
      </c>
      <c r="AW79" s="1" t="s">
        <v>119</v>
      </c>
      <c r="AX79" s="1"/>
      <c r="AY79" s="1"/>
      <c r="AZ79" s="1" t="s">
        <v>183</v>
      </c>
      <c r="BA79" s="1"/>
      <c r="BB79" s="1"/>
      <c r="BC79" s="1"/>
      <c r="BD79" s="1" t="s">
        <v>540</v>
      </c>
      <c r="BE79" s="1" t="s">
        <v>122</v>
      </c>
      <c r="BF79" s="1">
        <v>0.4</v>
      </c>
      <c r="BG79" s="1" t="str">
        <f>"[6]"</f>
        <v>[6]</v>
      </c>
      <c r="BH79" s="1" t="s">
        <v>118</v>
      </c>
      <c r="BI79" s="1">
        <v>0</v>
      </c>
      <c r="BJ79" s="1"/>
      <c r="BK79" s="1"/>
      <c r="BL79" s="1"/>
      <c r="BM79" s="1"/>
      <c r="BN79" s="1" t="s">
        <v>142</v>
      </c>
      <c r="BO79" s="1"/>
      <c r="BP79" s="1"/>
      <c r="BQ79" s="1"/>
      <c r="BR79" s="1" t="s">
        <v>131</v>
      </c>
      <c r="BS79" s="1"/>
      <c r="BT79" s="1"/>
      <c r="BU79" s="1" t="s">
        <v>123</v>
      </c>
      <c r="BV79" s="1" t="s">
        <v>540</v>
      </c>
      <c r="BW79" s="1" t="s">
        <v>805</v>
      </c>
      <c r="BX79" s="1" t="s">
        <v>125</v>
      </c>
      <c r="BY79" s="1" t="s">
        <v>126</v>
      </c>
      <c r="BZ79" s="1">
        <v>80</v>
      </c>
      <c r="CA79" s="1" t="s">
        <v>806</v>
      </c>
      <c r="CB79" s="1" t="s">
        <v>807</v>
      </c>
      <c r="CC79" s="1">
        <v>11</v>
      </c>
      <c r="CD79" s="1" t="s">
        <v>540</v>
      </c>
      <c r="CE79" s="1" t="s">
        <v>808</v>
      </c>
      <c r="CF79" s="1" t="s">
        <v>146</v>
      </c>
      <c r="CG79" s="1"/>
      <c r="CH79" s="1"/>
      <c r="CI79" s="1" t="str">
        <f>"0"</f>
        <v>0</v>
      </c>
      <c r="CJ79" s="1"/>
      <c r="CK79" s="1"/>
      <c r="CL79" s="1" t="s">
        <v>136</v>
      </c>
      <c r="CM79" s="1"/>
      <c r="CN79" s="1" t="s">
        <v>132</v>
      </c>
      <c r="CO79" s="1" t="s">
        <v>118</v>
      </c>
    </row>
    <row r="80" spans="1:93" hidden="1" x14ac:dyDescent="0.3">
      <c r="A80" s="1">
        <v>2878777</v>
      </c>
      <c r="B80" s="1">
        <v>155001</v>
      </c>
      <c r="C80" s="1" t="str">
        <f>"701213401100"</f>
        <v>701213401100</v>
      </c>
      <c r="D80" s="1" t="s">
        <v>809</v>
      </c>
      <c r="E80" s="1" t="s">
        <v>810</v>
      </c>
      <c r="F80" s="1" t="s">
        <v>811</v>
      </c>
      <c r="G80" s="2">
        <v>25915</v>
      </c>
      <c r="H80" s="1"/>
      <c r="I80" s="1" t="s">
        <v>106</v>
      </c>
      <c r="J80" s="1" t="s">
        <v>107</v>
      </c>
      <c r="K80" s="1" t="s">
        <v>108</v>
      </c>
      <c r="L80" s="1"/>
      <c r="M80" s="1"/>
      <c r="N80" s="1"/>
      <c r="O80" s="1"/>
      <c r="P80" s="1" t="s">
        <v>109</v>
      </c>
      <c r="Q80" s="1" t="s">
        <v>136</v>
      </c>
      <c r="R80" s="1"/>
      <c r="S80" s="1"/>
      <c r="T80" s="1"/>
      <c r="U80" s="1"/>
      <c r="V80" s="1"/>
      <c r="W80" s="1" t="str">
        <f t="shared" si="7"/>
        <v>2023-09-01T00:00:00</v>
      </c>
      <c r="X80" s="1" t="str">
        <f t="shared" si="8"/>
        <v>1</v>
      </c>
      <c r="Y80" s="1"/>
      <c r="Z80" s="1" t="s">
        <v>110</v>
      </c>
      <c r="AA80" s="1" t="s">
        <v>703</v>
      </c>
      <c r="AB80" s="1"/>
      <c r="AC80" s="1"/>
      <c r="AD80" s="1"/>
      <c r="AE80" s="1" t="s">
        <v>138</v>
      </c>
      <c r="AF80" s="1" t="s">
        <v>113</v>
      </c>
      <c r="AG80" s="1">
        <v>0.9</v>
      </c>
      <c r="AH80" s="1" t="s">
        <v>705</v>
      </c>
      <c r="AI80" s="1" t="s">
        <v>115</v>
      </c>
      <c r="AJ80" s="1" t="s">
        <v>116</v>
      </c>
      <c r="AK80" s="1"/>
      <c r="AL80" s="1"/>
      <c r="AM80" s="1"/>
      <c r="AN80" s="1" t="s">
        <v>117</v>
      </c>
      <c r="AO80" s="1" t="s">
        <v>118</v>
      </c>
      <c r="AP80" s="1" t="str">
        <f>"30"</f>
        <v>30</v>
      </c>
      <c r="AQ80" s="1" t="str">
        <f>"30"</f>
        <v>30</v>
      </c>
      <c r="AR80" s="1" t="str">
        <f>"30"</f>
        <v>30</v>
      </c>
      <c r="AS80" s="1" t="str">
        <f>"30"</f>
        <v>30</v>
      </c>
      <c r="AT80" s="1" t="str">
        <f t="shared" si="6"/>
        <v>0</v>
      </c>
      <c r="AU80" s="1" t="str">
        <f>"gulya.kairkenova@mail.ru"</f>
        <v>gulya.kairkenova@mail.ru</v>
      </c>
      <c r="AV80" s="1" t="str">
        <f>"87716673933"</f>
        <v>87716673933</v>
      </c>
      <c r="AW80" s="1" t="s">
        <v>220</v>
      </c>
      <c r="AX80" s="1" t="s">
        <v>221</v>
      </c>
      <c r="AY80" s="1"/>
      <c r="AZ80" s="1" t="s">
        <v>204</v>
      </c>
      <c r="BA80" s="1"/>
      <c r="BB80" s="1"/>
      <c r="BC80" s="1"/>
      <c r="BD80" s="1" t="s">
        <v>294</v>
      </c>
      <c r="BE80" s="1" t="s">
        <v>122</v>
      </c>
      <c r="BF80" s="1">
        <v>0.9</v>
      </c>
      <c r="BG80" s="1" t="str">
        <f>"[15]"</f>
        <v>[15]</v>
      </c>
      <c r="BH80" s="1" t="s">
        <v>118</v>
      </c>
      <c r="BI80" s="1">
        <v>0</v>
      </c>
      <c r="BJ80" s="1"/>
      <c r="BK80" s="1"/>
      <c r="BL80" s="1"/>
      <c r="BM80" s="1"/>
      <c r="BN80" s="1" t="s">
        <v>142</v>
      </c>
      <c r="BO80" s="1"/>
      <c r="BP80" s="1"/>
      <c r="BQ80" s="1"/>
      <c r="BR80" s="1" t="s">
        <v>131</v>
      </c>
      <c r="BS80" s="1"/>
      <c r="BT80" s="1"/>
      <c r="BU80" s="1" t="s">
        <v>812</v>
      </c>
      <c r="BV80" s="1" t="s">
        <v>813</v>
      </c>
      <c r="BW80" s="1" t="s">
        <v>814</v>
      </c>
      <c r="BX80" s="1" t="s">
        <v>815</v>
      </c>
      <c r="BY80" s="1" t="s">
        <v>545</v>
      </c>
      <c r="BZ80" s="1" t="s">
        <v>816</v>
      </c>
      <c r="CA80" s="1" t="s">
        <v>817</v>
      </c>
      <c r="CB80" s="1" t="s">
        <v>818</v>
      </c>
      <c r="CC80" s="1" t="s">
        <v>819</v>
      </c>
      <c r="CD80" s="1" t="s">
        <v>164</v>
      </c>
      <c r="CE80" s="1" t="s">
        <v>820</v>
      </c>
      <c r="CF80" s="1" t="s">
        <v>146</v>
      </c>
      <c r="CG80" s="1"/>
      <c r="CH80" s="1"/>
      <c r="CI80" s="1" t="str">
        <f>"0"</f>
        <v>0</v>
      </c>
      <c r="CJ80" s="1"/>
      <c r="CK80" s="1"/>
      <c r="CL80" s="1" t="s">
        <v>136</v>
      </c>
      <c r="CM80" s="1"/>
      <c r="CN80" s="1" t="s">
        <v>132</v>
      </c>
      <c r="CO80" s="1" t="s">
        <v>118</v>
      </c>
    </row>
    <row r="81" spans="1:93" hidden="1" x14ac:dyDescent="0.3">
      <c r="A81" s="1">
        <v>2878780</v>
      </c>
      <c r="B81" s="1">
        <v>142575</v>
      </c>
      <c r="C81" s="1" t="str">
        <f>"940123450542"</f>
        <v>940123450542</v>
      </c>
      <c r="D81" s="1" t="s">
        <v>707</v>
      </c>
      <c r="E81" s="1" t="s">
        <v>821</v>
      </c>
      <c r="F81" s="1" t="s">
        <v>822</v>
      </c>
      <c r="G81" s="2">
        <v>34357</v>
      </c>
      <c r="H81" s="1"/>
      <c r="I81" s="1" t="s">
        <v>106</v>
      </c>
      <c r="J81" s="1" t="s">
        <v>107</v>
      </c>
      <c r="K81" s="1" t="s">
        <v>108</v>
      </c>
      <c r="L81" s="1"/>
      <c r="M81" s="1"/>
      <c r="N81" s="1"/>
      <c r="O81" s="1"/>
      <c r="P81" s="1" t="s">
        <v>109</v>
      </c>
      <c r="Q81" s="1" t="s">
        <v>136</v>
      </c>
      <c r="R81" s="1"/>
      <c r="S81" s="1"/>
      <c r="T81" s="1"/>
      <c r="U81" s="1"/>
      <c r="V81" s="1"/>
      <c r="W81" s="1" t="str">
        <f t="shared" si="7"/>
        <v>2023-09-01T00:00:00</v>
      </c>
      <c r="X81" s="1" t="str">
        <f t="shared" si="8"/>
        <v>1</v>
      </c>
      <c r="Y81" s="1"/>
      <c r="Z81" s="1" t="s">
        <v>110</v>
      </c>
      <c r="AA81" s="1" t="s">
        <v>703</v>
      </c>
      <c r="AB81" s="1"/>
      <c r="AC81" s="1"/>
      <c r="AD81" s="1"/>
      <c r="AE81" s="1" t="s">
        <v>138</v>
      </c>
      <c r="AF81" s="1" t="s">
        <v>113</v>
      </c>
      <c r="AG81" s="1">
        <v>0.6</v>
      </c>
      <c r="AH81" s="1" t="s">
        <v>705</v>
      </c>
      <c r="AI81" s="1" t="s">
        <v>115</v>
      </c>
      <c r="AJ81" s="1" t="s">
        <v>201</v>
      </c>
      <c r="AK81" s="1"/>
      <c r="AL81" s="1"/>
      <c r="AM81" s="1"/>
      <c r="AN81" s="1" t="s">
        <v>117</v>
      </c>
      <c r="AO81" s="1" t="s">
        <v>118</v>
      </c>
      <c r="AP81" s="1" t="str">
        <f>"10"</f>
        <v>10</v>
      </c>
      <c r="AQ81" s="1" t="str">
        <f>"10"</f>
        <v>10</v>
      </c>
      <c r="AR81" s="1" t="str">
        <f>"10"</f>
        <v>10</v>
      </c>
      <c r="AS81" s="1" t="str">
        <f>"10"</f>
        <v>10</v>
      </c>
      <c r="AT81" s="1" t="str">
        <f t="shared" si="6"/>
        <v>0</v>
      </c>
      <c r="AU81" s="1" t="str">
        <f>"anarka94.vip@mail.ru"</f>
        <v>anarka94.vip@mail.ru</v>
      </c>
      <c r="AV81" s="1" t="str">
        <f>"87055838312"</f>
        <v>87055838312</v>
      </c>
      <c r="AW81" s="1" t="s">
        <v>152</v>
      </c>
      <c r="AX81" s="1" t="s">
        <v>221</v>
      </c>
      <c r="AY81" s="1"/>
      <c r="AZ81" s="1" t="s">
        <v>204</v>
      </c>
      <c r="BA81" s="1"/>
      <c r="BB81" s="1"/>
      <c r="BC81" s="1"/>
      <c r="BD81" s="1" t="s">
        <v>515</v>
      </c>
      <c r="BE81" s="1" t="s">
        <v>206</v>
      </c>
      <c r="BF81" s="1">
        <v>0.6</v>
      </c>
      <c r="BG81" s="1" t="str">
        <f>"[10]"</f>
        <v>[10]</v>
      </c>
      <c r="BH81" s="1" t="s">
        <v>118</v>
      </c>
      <c r="BI81" s="1">
        <v>0</v>
      </c>
      <c r="BJ81" s="1"/>
      <c r="BK81" s="1"/>
      <c r="BL81" s="1"/>
      <c r="BM81" s="1"/>
      <c r="BN81" s="1" t="s">
        <v>142</v>
      </c>
      <c r="BO81" s="1"/>
      <c r="BP81" s="1"/>
      <c r="BQ81" s="1"/>
      <c r="BR81" s="1" t="s">
        <v>131</v>
      </c>
      <c r="BS81" s="1"/>
      <c r="BT81" s="1"/>
      <c r="BU81" s="1" t="s">
        <v>522</v>
      </c>
      <c r="BV81" s="1" t="s">
        <v>823</v>
      </c>
      <c r="BW81" s="1" t="s">
        <v>824</v>
      </c>
      <c r="BX81" s="1" t="s">
        <v>317</v>
      </c>
      <c r="BY81" s="1" t="s">
        <v>318</v>
      </c>
      <c r="BZ81" s="1" t="s">
        <v>825</v>
      </c>
      <c r="CA81" s="1" t="s">
        <v>826</v>
      </c>
      <c r="CB81" s="1" t="s">
        <v>827</v>
      </c>
      <c r="CC81" s="1" t="s">
        <v>828</v>
      </c>
      <c r="CD81" s="1" t="s">
        <v>164</v>
      </c>
      <c r="CE81" s="1" t="s">
        <v>829</v>
      </c>
      <c r="CF81" s="3">
        <v>45383</v>
      </c>
      <c r="CG81" s="1"/>
      <c r="CH81" s="1"/>
      <c r="CI81" s="1" t="str">
        <f>"0"</f>
        <v>0</v>
      </c>
      <c r="CJ81" s="1"/>
      <c r="CK81" s="1"/>
      <c r="CL81" s="1" t="s">
        <v>136</v>
      </c>
      <c r="CM81" s="1"/>
      <c r="CN81" s="1" t="s">
        <v>132</v>
      </c>
      <c r="CO81" s="1" t="s">
        <v>118</v>
      </c>
    </row>
    <row r="82" spans="1:93" hidden="1" x14ac:dyDescent="0.3">
      <c r="A82" s="1">
        <v>2878781</v>
      </c>
      <c r="B82" s="1">
        <v>153285</v>
      </c>
      <c r="C82" s="1" t="str">
        <f>"841126451192"</f>
        <v>841126451192</v>
      </c>
      <c r="D82" s="1" t="s">
        <v>830</v>
      </c>
      <c r="E82" s="1" t="s">
        <v>831</v>
      </c>
      <c r="F82" s="1" t="s">
        <v>832</v>
      </c>
      <c r="G82" s="2">
        <v>31012</v>
      </c>
      <c r="H82" s="1"/>
      <c r="I82" s="1" t="s">
        <v>106</v>
      </c>
      <c r="J82" s="1" t="s">
        <v>107</v>
      </c>
      <c r="K82" s="1" t="s">
        <v>108</v>
      </c>
      <c r="L82" s="1"/>
      <c r="M82" s="1"/>
      <c r="N82" s="1"/>
      <c r="O82" s="1"/>
      <c r="P82" s="1" t="s">
        <v>109</v>
      </c>
      <c r="Q82" s="1" t="s">
        <v>136</v>
      </c>
      <c r="R82" s="1"/>
      <c r="S82" s="1"/>
      <c r="T82" s="1"/>
      <c r="U82" s="1"/>
      <c r="V82" s="1"/>
      <c r="W82" s="1" t="str">
        <f t="shared" si="7"/>
        <v>2023-09-01T00:00:00</v>
      </c>
      <c r="X82" s="1" t="str">
        <f t="shared" si="8"/>
        <v>1</v>
      </c>
      <c r="Y82" s="1"/>
      <c r="Z82" s="1" t="s">
        <v>110</v>
      </c>
      <c r="AA82" s="1" t="s">
        <v>703</v>
      </c>
      <c r="AB82" s="1"/>
      <c r="AC82" s="1"/>
      <c r="AD82" s="1"/>
      <c r="AE82" s="1" t="s">
        <v>138</v>
      </c>
      <c r="AF82" s="1" t="s">
        <v>591</v>
      </c>
      <c r="AG82" s="1">
        <v>0.5</v>
      </c>
      <c r="AH82" s="1" t="s">
        <v>705</v>
      </c>
      <c r="AI82" s="1" t="s">
        <v>218</v>
      </c>
      <c r="AJ82" s="1" t="s">
        <v>219</v>
      </c>
      <c r="AK82" s="1"/>
      <c r="AL82" s="1"/>
      <c r="AM82" s="1"/>
      <c r="AN82" s="1" t="s">
        <v>117</v>
      </c>
      <c r="AO82" s="1" t="s">
        <v>151</v>
      </c>
      <c r="AP82" s="1" t="str">
        <f>"9"</f>
        <v>9</v>
      </c>
      <c r="AQ82" s="1" t="str">
        <f>"9"</f>
        <v>9</v>
      </c>
      <c r="AR82" s="1" t="str">
        <f>"9"</f>
        <v>9</v>
      </c>
      <c r="AS82" s="1" t="str">
        <f>"9"</f>
        <v>9</v>
      </c>
      <c r="AT82" s="1" t="str">
        <f t="shared" si="6"/>
        <v>0</v>
      </c>
      <c r="AU82" s="1" t="str">
        <f>"semushka_.85@mail.ru"</f>
        <v>semushka_.85@mail.ru</v>
      </c>
      <c r="AV82" s="1" t="str">
        <f>"87715368005"</f>
        <v>87715368005</v>
      </c>
      <c r="AW82" s="1" t="s">
        <v>139</v>
      </c>
      <c r="AX82" s="1" t="s">
        <v>833</v>
      </c>
      <c r="AY82" s="1"/>
      <c r="AZ82" s="1" t="s">
        <v>120</v>
      </c>
      <c r="BA82" s="1"/>
      <c r="BB82" s="1"/>
      <c r="BC82" s="1"/>
      <c r="BD82" s="1"/>
      <c r="BE82" s="1"/>
      <c r="BF82" s="1"/>
      <c r="BG82" s="1"/>
      <c r="BH82" s="1" t="s">
        <v>118</v>
      </c>
      <c r="BI82" s="1">
        <v>0</v>
      </c>
      <c r="BJ82" s="1"/>
      <c r="BK82" s="1"/>
      <c r="BL82" s="1"/>
      <c r="BM82" s="1"/>
      <c r="BN82" s="1" t="s">
        <v>142</v>
      </c>
      <c r="BO82" s="1"/>
      <c r="BP82" s="1"/>
      <c r="BQ82" s="1"/>
      <c r="BR82" s="1" t="s">
        <v>131</v>
      </c>
      <c r="BS82" s="1"/>
      <c r="BT82" s="1"/>
      <c r="BU82" s="1" t="s">
        <v>271</v>
      </c>
      <c r="BV82" s="1" t="s">
        <v>834</v>
      </c>
      <c r="BW82" s="1" t="s">
        <v>835</v>
      </c>
      <c r="BX82" s="1" t="s">
        <v>836</v>
      </c>
      <c r="BY82" s="1" t="s">
        <v>209</v>
      </c>
      <c r="BZ82" s="1" t="s">
        <v>837</v>
      </c>
      <c r="CA82" s="1" t="s">
        <v>838</v>
      </c>
      <c r="CB82" s="1" t="s">
        <v>839</v>
      </c>
      <c r="CC82" s="1" t="s">
        <v>840</v>
      </c>
      <c r="CD82" s="1" t="s">
        <v>164</v>
      </c>
      <c r="CE82" s="1"/>
      <c r="CF82" s="1"/>
      <c r="CG82" s="1"/>
      <c r="CH82" s="1"/>
      <c r="CI82" s="1"/>
      <c r="CJ82" s="1"/>
      <c r="CK82" s="1"/>
      <c r="CL82" s="1" t="s">
        <v>136</v>
      </c>
      <c r="CM82" s="1"/>
      <c r="CN82" s="1" t="s">
        <v>132</v>
      </c>
      <c r="CO82" s="1" t="s">
        <v>841</v>
      </c>
    </row>
    <row r="83" spans="1:93" hidden="1" x14ac:dyDescent="0.3">
      <c r="A83" s="1">
        <v>2878794</v>
      </c>
      <c r="B83" s="1">
        <v>1781465</v>
      </c>
      <c r="C83" s="1" t="str">
        <f>"000211601113"</f>
        <v>000211601113</v>
      </c>
      <c r="D83" s="1" t="s">
        <v>842</v>
      </c>
      <c r="E83" s="1" t="s">
        <v>843</v>
      </c>
      <c r="F83" s="1" t="s">
        <v>844</v>
      </c>
      <c r="G83" s="2">
        <v>36567</v>
      </c>
      <c r="H83" s="1"/>
      <c r="I83" s="1" t="s">
        <v>106</v>
      </c>
      <c r="J83" s="1" t="s">
        <v>107</v>
      </c>
      <c r="K83" s="1" t="s">
        <v>108</v>
      </c>
      <c r="L83" s="1"/>
      <c r="M83" s="1"/>
      <c r="N83" s="1"/>
      <c r="O83" s="1"/>
      <c r="P83" s="1" t="s">
        <v>109</v>
      </c>
      <c r="Q83" s="1" t="s">
        <v>136</v>
      </c>
      <c r="R83" s="1"/>
      <c r="S83" s="1"/>
      <c r="T83" s="1"/>
      <c r="U83" s="1"/>
      <c r="V83" s="1"/>
      <c r="W83" s="1" t="str">
        <f t="shared" si="7"/>
        <v>2023-09-01T00:00:00</v>
      </c>
      <c r="X83" s="1" t="str">
        <f>"214"</f>
        <v>214</v>
      </c>
      <c r="Y83" s="1"/>
      <c r="Z83" s="1" t="s">
        <v>168</v>
      </c>
      <c r="AA83" s="1" t="s">
        <v>111</v>
      </c>
      <c r="AB83" s="1"/>
      <c r="AC83" s="1"/>
      <c r="AD83" s="1"/>
      <c r="AE83" s="1" t="s">
        <v>138</v>
      </c>
      <c r="AF83" s="1" t="s">
        <v>113</v>
      </c>
      <c r="AG83" s="1">
        <v>1</v>
      </c>
      <c r="AH83" s="1" t="s">
        <v>114</v>
      </c>
      <c r="AI83" s="1" t="s">
        <v>218</v>
      </c>
      <c r="AJ83" s="1" t="s">
        <v>219</v>
      </c>
      <c r="AK83" s="1"/>
      <c r="AL83" s="1"/>
      <c r="AM83" s="1"/>
      <c r="AN83" s="1" t="s">
        <v>117</v>
      </c>
      <c r="AO83" s="1" t="s">
        <v>118</v>
      </c>
      <c r="AP83" s="1" t="str">
        <f>"0"</f>
        <v>0</v>
      </c>
      <c r="AQ83" s="1" t="str">
        <f>"0"</f>
        <v>0</v>
      </c>
      <c r="AR83" s="1" t="str">
        <f>"0"</f>
        <v>0</v>
      </c>
      <c r="AS83" s="1" t="str">
        <f>"0"</f>
        <v>0</v>
      </c>
      <c r="AT83" s="1" t="str">
        <f t="shared" si="6"/>
        <v>0</v>
      </c>
      <c r="AU83" s="1" t="str">
        <f>"guldana.0036@gmail.com"</f>
        <v>guldana.0036@gmail.com</v>
      </c>
      <c r="AV83" s="1" t="str">
        <f>"87058572977"</f>
        <v>87058572977</v>
      </c>
      <c r="AW83" s="1" t="s">
        <v>119</v>
      </c>
      <c r="AX83" s="1"/>
      <c r="AY83" s="1"/>
      <c r="AZ83" s="1" t="s">
        <v>183</v>
      </c>
      <c r="BA83" s="1"/>
      <c r="BB83" s="1"/>
      <c r="BC83" s="1"/>
      <c r="BD83" s="1" t="s">
        <v>121</v>
      </c>
      <c r="BE83" s="1" t="s">
        <v>122</v>
      </c>
      <c r="BF83" s="1">
        <v>1</v>
      </c>
      <c r="BG83" s="1" t="str">
        <f>"[16]"</f>
        <v>[16]</v>
      </c>
      <c r="BH83" s="1" t="s">
        <v>118</v>
      </c>
      <c r="BI83" s="1">
        <v>0</v>
      </c>
      <c r="BJ83" s="1"/>
      <c r="BK83" s="1"/>
      <c r="BL83" s="1"/>
      <c r="BM83" s="1"/>
      <c r="BN83" s="1" t="s">
        <v>142</v>
      </c>
      <c r="BO83" s="1"/>
      <c r="BP83" s="1"/>
      <c r="BQ83" s="1"/>
      <c r="BR83" s="1" t="s">
        <v>131</v>
      </c>
      <c r="BS83" s="1"/>
      <c r="BT83" s="1"/>
      <c r="BU83" s="1" t="s">
        <v>535</v>
      </c>
      <c r="BV83" s="1"/>
      <c r="BW83" s="1"/>
      <c r="BX83" s="1"/>
      <c r="BY83" s="1"/>
      <c r="BZ83" s="1"/>
      <c r="CA83" s="1"/>
      <c r="CB83" s="1"/>
      <c r="CC83" s="1"/>
      <c r="CD83" s="1" t="s">
        <v>164</v>
      </c>
      <c r="CE83" s="1" t="s">
        <v>845</v>
      </c>
      <c r="CF83" s="1" t="s">
        <v>146</v>
      </c>
      <c r="CG83" s="1"/>
      <c r="CH83" s="1"/>
      <c r="CI83" s="1" t="str">
        <f>"0"</f>
        <v>0</v>
      </c>
      <c r="CJ83" s="1"/>
      <c r="CK83" s="1"/>
      <c r="CL83" s="1" t="s">
        <v>136</v>
      </c>
      <c r="CM83" s="1"/>
      <c r="CN83" s="1" t="s">
        <v>132</v>
      </c>
      <c r="CO83" s="1" t="s">
        <v>118</v>
      </c>
    </row>
    <row r="84" spans="1:93" hidden="1" x14ac:dyDescent="0.3">
      <c r="A84" s="1">
        <v>2878798</v>
      </c>
      <c r="B84" s="1">
        <v>558956</v>
      </c>
      <c r="C84" s="1" t="str">
        <f>"940815402287"</f>
        <v>940815402287</v>
      </c>
      <c r="D84" s="1" t="s">
        <v>846</v>
      </c>
      <c r="E84" s="1" t="s">
        <v>675</v>
      </c>
      <c r="F84" s="1" t="s">
        <v>847</v>
      </c>
      <c r="G84" s="2">
        <v>34561</v>
      </c>
      <c r="H84" s="1"/>
      <c r="I84" s="1" t="s">
        <v>106</v>
      </c>
      <c r="J84" s="1" t="s">
        <v>107</v>
      </c>
      <c r="K84" s="1" t="s">
        <v>108</v>
      </c>
      <c r="L84" s="1"/>
      <c r="M84" s="1"/>
      <c r="N84" s="1"/>
      <c r="O84" s="1"/>
      <c r="P84" s="1" t="s">
        <v>109</v>
      </c>
      <c r="Q84" s="1" t="s">
        <v>136</v>
      </c>
      <c r="R84" s="1"/>
      <c r="S84" s="1"/>
      <c r="T84" s="1"/>
      <c r="U84" s="1"/>
      <c r="V84" s="1"/>
      <c r="W84" s="1" t="str">
        <f t="shared" si="7"/>
        <v>2023-09-01T00:00:00</v>
      </c>
      <c r="X84" s="1" t="str">
        <f>"208"</f>
        <v>208</v>
      </c>
      <c r="Y84" s="1"/>
      <c r="Z84" s="1" t="s">
        <v>110</v>
      </c>
      <c r="AA84" s="1" t="s">
        <v>111</v>
      </c>
      <c r="AB84" s="1"/>
      <c r="AC84" s="1"/>
      <c r="AD84" s="1"/>
      <c r="AE84" s="1" t="s">
        <v>138</v>
      </c>
      <c r="AF84" s="1" t="s">
        <v>415</v>
      </c>
      <c r="AG84" s="1">
        <v>1</v>
      </c>
      <c r="AH84" s="1" t="s">
        <v>114</v>
      </c>
      <c r="AI84" s="1" t="s">
        <v>115</v>
      </c>
      <c r="AJ84" s="1" t="s">
        <v>116</v>
      </c>
      <c r="AK84" s="1"/>
      <c r="AL84" s="1"/>
      <c r="AM84" s="1"/>
      <c r="AN84" s="1" t="s">
        <v>117</v>
      </c>
      <c r="AO84" s="1" t="s">
        <v>118</v>
      </c>
      <c r="AP84" s="1" t="str">
        <f>"3"</f>
        <v>3</v>
      </c>
      <c r="AQ84" s="1" t="str">
        <f>"3"</f>
        <v>3</v>
      </c>
      <c r="AR84" s="1" t="str">
        <f>"3"</f>
        <v>3</v>
      </c>
      <c r="AS84" s="1" t="str">
        <f>"3"</f>
        <v>3</v>
      </c>
      <c r="AT84" s="1" t="str">
        <f t="shared" si="6"/>
        <v>0</v>
      </c>
      <c r="AU84" s="1" t="str">
        <f>"bigeldieva@mail.ru"</f>
        <v>bigeldieva@mail.ru</v>
      </c>
      <c r="AV84" s="1" t="str">
        <f>"87471574180"</f>
        <v>87471574180</v>
      </c>
      <c r="AW84" s="1" t="s">
        <v>119</v>
      </c>
      <c r="AX84" s="1"/>
      <c r="AY84" s="1"/>
      <c r="AZ84" s="1" t="s">
        <v>183</v>
      </c>
      <c r="BA84" s="1"/>
      <c r="BB84" s="1"/>
      <c r="BC84" s="1"/>
      <c r="BD84" s="1"/>
      <c r="BE84" s="1"/>
      <c r="BF84" s="1"/>
      <c r="BG84" s="1"/>
      <c r="BH84" s="1" t="s">
        <v>169</v>
      </c>
      <c r="BI84" s="1">
        <v>0.5</v>
      </c>
      <c r="BJ84" s="1" t="s">
        <v>119</v>
      </c>
      <c r="BK84" s="1"/>
      <c r="BL84" s="1"/>
      <c r="BM84" s="1"/>
      <c r="BN84" s="1" t="s">
        <v>142</v>
      </c>
      <c r="BO84" s="1"/>
      <c r="BP84" s="1"/>
      <c r="BQ84" s="1"/>
      <c r="BR84" s="1" t="s">
        <v>131</v>
      </c>
      <c r="BS84" s="1"/>
      <c r="BT84" s="1"/>
      <c r="BU84" s="1" t="s">
        <v>535</v>
      </c>
      <c r="BV84" s="1"/>
      <c r="BW84" s="1"/>
      <c r="BX84" s="1"/>
      <c r="BY84" s="1"/>
      <c r="BZ84" s="1"/>
      <c r="CA84" s="1"/>
      <c r="CB84" s="1"/>
      <c r="CC84" s="1"/>
      <c r="CD84" s="1" t="s">
        <v>164</v>
      </c>
      <c r="CE84" s="1"/>
      <c r="CF84" s="1"/>
      <c r="CG84" s="1"/>
      <c r="CH84" s="1"/>
      <c r="CI84" s="1" t="str">
        <f>"0"</f>
        <v>0</v>
      </c>
      <c r="CJ84" s="1"/>
      <c r="CK84" s="1"/>
      <c r="CL84" s="1" t="s">
        <v>131</v>
      </c>
      <c r="CM84" s="1"/>
      <c r="CN84" s="1" t="s">
        <v>132</v>
      </c>
      <c r="CO84" s="1" t="s">
        <v>118</v>
      </c>
    </row>
    <row r="85" spans="1:93" hidden="1" x14ac:dyDescent="0.3">
      <c r="A85" s="1">
        <v>2878799</v>
      </c>
      <c r="B85" s="1">
        <v>144481</v>
      </c>
      <c r="C85" s="1" t="str">
        <f>"900424451381"</f>
        <v>900424451381</v>
      </c>
      <c r="D85" s="1" t="s">
        <v>848</v>
      </c>
      <c r="E85" s="1" t="s">
        <v>849</v>
      </c>
      <c r="F85" s="1" t="s">
        <v>850</v>
      </c>
      <c r="G85" s="2">
        <v>32987</v>
      </c>
      <c r="H85" s="1"/>
      <c r="I85" s="1" t="s">
        <v>106</v>
      </c>
      <c r="J85" s="1" t="s">
        <v>107</v>
      </c>
      <c r="K85" s="1" t="s">
        <v>108</v>
      </c>
      <c r="L85" s="1"/>
      <c r="M85" s="1"/>
      <c r="N85" s="1"/>
      <c r="O85" s="1"/>
      <c r="P85" s="1" t="s">
        <v>109</v>
      </c>
      <c r="Q85" s="1" t="s">
        <v>136</v>
      </c>
      <c r="R85" s="1"/>
      <c r="S85" s="1"/>
      <c r="T85" s="1"/>
      <c r="U85" s="1"/>
      <c r="V85" s="1"/>
      <c r="W85" s="1" t="str">
        <f t="shared" si="7"/>
        <v>2023-09-01T00:00:00</v>
      </c>
      <c r="X85" s="1" t="str">
        <f>"207"</f>
        <v>207</v>
      </c>
      <c r="Y85" s="1"/>
      <c r="Z85" s="1" t="s">
        <v>110</v>
      </c>
      <c r="AA85" s="1" t="s">
        <v>111</v>
      </c>
      <c r="AB85" s="1"/>
      <c r="AC85" s="1"/>
      <c r="AD85" s="1"/>
      <c r="AE85" s="1" t="s">
        <v>138</v>
      </c>
      <c r="AF85" s="1" t="s">
        <v>113</v>
      </c>
      <c r="AG85" s="1">
        <v>1.4</v>
      </c>
      <c r="AH85" s="1" t="s">
        <v>114</v>
      </c>
      <c r="AI85" s="1" t="s">
        <v>115</v>
      </c>
      <c r="AJ85" s="1" t="s">
        <v>116</v>
      </c>
      <c r="AK85" s="1"/>
      <c r="AL85" s="1"/>
      <c r="AM85" s="1"/>
      <c r="AN85" s="1" t="s">
        <v>117</v>
      </c>
      <c r="AO85" s="1" t="s">
        <v>118</v>
      </c>
      <c r="AP85" s="1" t="str">
        <f>"8"</f>
        <v>8</v>
      </c>
      <c r="AQ85" s="1" t="str">
        <f>"8"</f>
        <v>8</v>
      </c>
      <c r="AR85" s="1" t="str">
        <f>"8"</f>
        <v>8</v>
      </c>
      <c r="AS85" s="1" t="str">
        <f>"8"</f>
        <v>8</v>
      </c>
      <c r="AT85" s="1" t="str">
        <f t="shared" si="6"/>
        <v>0</v>
      </c>
      <c r="AU85" s="1" t="str">
        <f>"kappasova_17@mail.ru"</f>
        <v>kappasova_17@mail.ru</v>
      </c>
      <c r="AV85" s="1" t="str">
        <f>"87761416497"</f>
        <v>87761416497</v>
      </c>
      <c r="AW85" s="1" t="s">
        <v>139</v>
      </c>
      <c r="AX85" s="1" t="s">
        <v>140</v>
      </c>
      <c r="AY85" s="1"/>
      <c r="AZ85" s="1" t="s">
        <v>170</v>
      </c>
      <c r="BA85" s="1"/>
      <c r="BB85" s="1"/>
      <c r="BC85" s="1"/>
      <c r="BD85" s="1" t="s">
        <v>184</v>
      </c>
      <c r="BE85" s="1" t="s">
        <v>122</v>
      </c>
      <c r="BF85" s="1">
        <v>1.4</v>
      </c>
      <c r="BG85" s="1" t="str">
        <f>"[22]"</f>
        <v>[22]</v>
      </c>
      <c r="BH85" s="1" t="s">
        <v>118</v>
      </c>
      <c r="BI85" s="1">
        <v>0</v>
      </c>
      <c r="BJ85" s="1"/>
      <c r="BK85" s="1"/>
      <c r="BL85" s="1"/>
      <c r="BM85" s="1"/>
      <c r="BN85" s="1" t="s">
        <v>142</v>
      </c>
      <c r="BO85" s="1"/>
      <c r="BP85" s="1"/>
      <c r="BQ85" s="1"/>
      <c r="BR85" s="1" t="s">
        <v>131</v>
      </c>
      <c r="BS85" s="1"/>
      <c r="BT85" s="1"/>
      <c r="BU85" s="1" t="s">
        <v>450</v>
      </c>
      <c r="BV85" s="1" t="s">
        <v>184</v>
      </c>
      <c r="BW85" s="1" t="s">
        <v>610</v>
      </c>
      <c r="BX85" s="1" t="s">
        <v>517</v>
      </c>
      <c r="BY85" s="1" t="s">
        <v>851</v>
      </c>
      <c r="BZ85" s="1">
        <v>160</v>
      </c>
      <c r="CA85" s="1" t="s">
        <v>852</v>
      </c>
      <c r="CB85" s="1" t="s">
        <v>853</v>
      </c>
      <c r="CC85" s="1">
        <v>0</v>
      </c>
      <c r="CD85" s="1" t="s">
        <v>164</v>
      </c>
      <c r="CE85" s="1" t="s">
        <v>854</v>
      </c>
      <c r="CF85" s="1" t="s">
        <v>146</v>
      </c>
      <c r="CG85" s="1"/>
      <c r="CH85" s="1"/>
      <c r="CI85" s="1" t="str">
        <f>"0"</f>
        <v>0</v>
      </c>
      <c r="CJ85" s="1"/>
      <c r="CK85" s="1"/>
      <c r="CL85" s="1" t="s">
        <v>131</v>
      </c>
      <c r="CM85" s="1"/>
      <c r="CN85" s="1" t="s">
        <v>193</v>
      </c>
      <c r="CO85" s="1" t="s">
        <v>118</v>
      </c>
    </row>
    <row r="86" spans="1:93" hidden="1" x14ac:dyDescent="0.3">
      <c r="A86" s="1">
        <v>2878800</v>
      </c>
      <c r="B86" s="1">
        <v>1803773</v>
      </c>
      <c r="C86" s="1" t="str">
        <f>"030601650791"</f>
        <v>030601650791</v>
      </c>
      <c r="D86" s="1" t="s">
        <v>855</v>
      </c>
      <c r="E86" s="1" t="s">
        <v>856</v>
      </c>
      <c r="F86" s="1" t="s">
        <v>414</v>
      </c>
      <c r="G86" s="2">
        <v>37773</v>
      </c>
      <c r="H86" s="1"/>
      <c r="I86" s="1" t="s">
        <v>106</v>
      </c>
      <c r="J86" s="1" t="s">
        <v>107</v>
      </c>
      <c r="K86" s="1" t="s">
        <v>254</v>
      </c>
      <c r="L86" s="1"/>
      <c r="M86" s="1"/>
      <c r="N86" s="1"/>
      <c r="O86" s="1"/>
      <c r="P86" s="1" t="s">
        <v>109</v>
      </c>
      <c r="Q86" s="1" t="s">
        <v>136</v>
      </c>
      <c r="R86" s="1"/>
      <c r="S86" s="1"/>
      <c r="T86" s="1"/>
      <c r="U86" s="1"/>
      <c r="V86" s="1"/>
      <c r="W86" s="1" t="str">
        <f>"2023-10-02T00:00:00"</f>
        <v>2023-10-02T00:00:00</v>
      </c>
      <c r="X86" s="1" t="str">
        <f>"245"</f>
        <v>245</v>
      </c>
      <c r="Y86" s="1"/>
      <c r="Z86" s="1" t="s">
        <v>110</v>
      </c>
      <c r="AA86" s="1" t="s">
        <v>111</v>
      </c>
      <c r="AB86" s="1"/>
      <c r="AC86" s="1"/>
      <c r="AD86" s="1"/>
      <c r="AE86" s="1" t="s">
        <v>138</v>
      </c>
      <c r="AF86" s="1" t="s">
        <v>200</v>
      </c>
      <c r="AG86" s="1">
        <v>1.4</v>
      </c>
      <c r="AH86" s="1" t="s">
        <v>114</v>
      </c>
      <c r="AI86" s="1" t="s">
        <v>115</v>
      </c>
      <c r="AJ86" s="1" t="s">
        <v>201</v>
      </c>
      <c r="AK86" s="1"/>
      <c r="AL86" s="1"/>
      <c r="AM86" s="1"/>
      <c r="AN86" s="1" t="s">
        <v>117</v>
      </c>
      <c r="AO86" s="1" t="s">
        <v>118</v>
      </c>
      <c r="AP86" s="1" t="str">
        <f t="shared" ref="AP86:AS87" si="9">"0"</f>
        <v>0</v>
      </c>
      <c r="AQ86" s="1" t="str">
        <f t="shared" si="9"/>
        <v>0</v>
      </c>
      <c r="AR86" s="1" t="str">
        <f t="shared" si="9"/>
        <v>0</v>
      </c>
      <c r="AS86" s="1" t="str">
        <f t="shared" si="9"/>
        <v>0</v>
      </c>
      <c r="AT86" s="1" t="str">
        <f t="shared" si="6"/>
        <v>0</v>
      </c>
      <c r="AU86" s="1" t="str">
        <f>"solavahyuk_anna2374@mail.ru"</f>
        <v>solavahyuk_anna2374@mail.ru</v>
      </c>
      <c r="AV86" s="1" t="str">
        <f>"87776451162"</f>
        <v>87776451162</v>
      </c>
      <c r="AW86" s="1" t="s">
        <v>119</v>
      </c>
      <c r="AX86" s="1"/>
      <c r="AY86" s="1"/>
      <c r="AZ86" s="1" t="s">
        <v>204</v>
      </c>
      <c r="BA86" s="1"/>
      <c r="BB86" s="1"/>
      <c r="BC86" s="1"/>
      <c r="BD86" s="1" t="s">
        <v>205</v>
      </c>
      <c r="BE86" s="1" t="s">
        <v>206</v>
      </c>
      <c r="BF86" s="1">
        <v>1.4</v>
      </c>
      <c r="BG86" s="1" t="str">
        <f>"[21]"</f>
        <v>[21]</v>
      </c>
      <c r="BH86" s="1" t="s">
        <v>118</v>
      </c>
      <c r="BI86" s="1">
        <v>0</v>
      </c>
      <c r="BJ86" s="1"/>
      <c r="BK86" s="1"/>
      <c r="BL86" s="1"/>
      <c r="BM86" s="1"/>
      <c r="BN86" s="1" t="s">
        <v>142</v>
      </c>
      <c r="BO86" s="1"/>
      <c r="BP86" s="1"/>
      <c r="BQ86" s="1"/>
      <c r="BR86" s="1" t="s">
        <v>131</v>
      </c>
      <c r="BS86" s="1"/>
      <c r="BT86" s="1"/>
      <c r="BU86" s="1" t="s">
        <v>535</v>
      </c>
      <c r="BV86" s="1"/>
      <c r="BW86" s="1"/>
      <c r="BX86" s="1"/>
      <c r="BY86" s="1"/>
      <c r="BZ86" s="1"/>
      <c r="CA86" s="1"/>
      <c r="CB86" s="1"/>
      <c r="CC86" s="1"/>
      <c r="CD86" s="1" t="s">
        <v>164</v>
      </c>
      <c r="CE86" s="1" t="s">
        <v>308</v>
      </c>
      <c r="CF86" s="3">
        <v>45383</v>
      </c>
      <c r="CG86" s="1"/>
      <c r="CH86" s="1"/>
      <c r="CI86" s="1" t="str">
        <f>"0"</f>
        <v>0</v>
      </c>
      <c r="CJ86" s="1"/>
      <c r="CK86" s="1"/>
      <c r="CL86" s="1" t="s">
        <v>131</v>
      </c>
      <c r="CM86" s="1"/>
      <c r="CN86" s="1" t="s">
        <v>132</v>
      </c>
      <c r="CO86" s="1" t="s">
        <v>118</v>
      </c>
    </row>
    <row r="87" spans="1:93" hidden="1" x14ac:dyDescent="0.3">
      <c r="A87" s="1">
        <v>2878801</v>
      </c>
      <c r="B87" s="1">
        <v>1803774</v>
      </c>
      <c r="C87" s="1" t="str">
        <f>"010807650936"</f>
        <v>010807650936</v>
      </c>
      <c r="D87" s="1" t="s">
        <v>857</v>
      </c>
      <c r="E87" s="1" t="s">
        <v>858</v>
      </c>
      <c r="F87" s="1" t="s">
        <v>393</v>
      </c>
      <c r="G87" s="2">
        <v>37110</v>
      </c>
      <c r="H87" s="1"/>
      <c r="I87" s="1" t="s">
        <v>106</v>
      </c>
      <c r="J87" s="1" t="s">
        <v>107</v>
      </c>
      <c r="K87" s="1" t="s">
        <v>198</v>
      </c>
      <c r="L87" s="1"/>
      <c r="M87" s="1"/>
      <c r="N87" s="1"/>
      <c r="O87" s="1"/>
      <c r="P87" s="1" t="s">
        <v>109</v>
      </c>
      <c r="Q87" s="1" t="s">
        <v>136</v>
      </c>
      <c r="R87" s="1"/>
      <c r="S87" s="1"/>
      <c r="T87" s="1"/>
      <c r="U87" s="1"/>
      <c r="V87" s="1"/>
      <c r="W87" s="1" t="str">
        <f>"2023-09-01T00:00:00"</f>
        <v>2023-09-01T00:00:00</v>
      </c>
      <c r="X87" s="1" t="str">
        <f>"223"</f>
        <v>223</v>
      </c>
      <c r="Y87" s="1"/>
      <c r="Z87" s="1" t="s">
        <v>110</v>
      </c>
      <c r="AA87" s="1" t="s">
        <v>111</v>
      </c>
      <c r="AB87" s="1"/>
      <c r="AC87" s="1"/>
      <c r="AD87" s="1"/>
      <c r="AE87" s="1" t="s">
        <v>138</v>
      </c>
      <c r="AF87" s="1" t="s">
        <v>113</v>
      </c>
      <c r="AG87" s="1">
        <v>1.1000000000000001</v>
      </c>
      <c r="AH87" s="1" t="s">
        <v>114</v>
      </c>
      <c r="AI87" s="1" t="s">
        <v>115</v>
      </c>
      <c r="AJ87" s="1" t="s">
        <v>116</v>
      </c>
      <c r="AK87" s="1"/>
      <c r="AL87" s="1"/>
      <c r="AM87" s="1"/>
      <c r="AN87" s="1" t="s">
        <v>117</v>
      </c>
      <c r="AO87" s="1" t="s">
        <v>118</v>
      </c>
      <c r="AP87" s="1" t="str">
        <f t="shared" si="9"/>
        <v>0</v>
      </c>
      <c r="AQ87" s="1" t="str">
        <f t="shared" si="9"/>
        <v>0</v>
      </c>
      <c r="AR87" s="1" t="str">
        <f t="shared" si="9"/>
        <v>0</v>
      </c>
      <c r="AS87" s="1" t="str">
        <f t="shared" si="9"/>
        <v>0</v>
      </c>
      <c r="AT87" s="1" t="str">
        <f t="shared" si="6"/>
        <v>0</v>
      </c>
      <c r="AU87" s="1" t="str">
        <f>"nastya07a2001@gmail.com"</f>
        <v>nastya07a2001@gmail.com</v>
      </c>
      <c r="AV87" s="1" t="str">
        <f>"87715935479"</f>
        <v>87715935479</v>
      </c>
      <c r="AW87" s="1" t="s">
        <v>119</v>
      </c>
      <c r="AX87" s="1"/>
      <c r="AY87" s="1"/>
      <c r="AZ87" s="1" t="s">
        <v>204</v>
      </c>
      <c r="BA87" s="1"/>
      <c r="BB87" s="1"/>
      <c r="BC87" s="1"/>
      <c r="BD87" s="1" t="s">
        <v>540</v>
      </c>
      <c r="BE87" s="1" t="s">
        <v>122</v>
      </c>
      <c r="BF87" s="1">
        <v>1.1000000000000001</v>
      </c>
      <c r="BG87" s="1" t="str">
        <f>"[18]"</f>
        <v>[18]</v>
      </c>
      <c r="BH87" s="1" t="s">
        <v>859</v>
      </c>
      <c r="BI87" s="1">
        <v>1</v>
      </c>
      <c r="BJ87" s="1" t="s">
        <v>119</v>
      </c>
      <c r="BK87" s="1"/>
      <c r="BL87" s="1"/>
      <c r="BM87" s="1"/>
      <c r="BN87" s="1" t="s">
        <v>142</v>
      </c>
      <c r="BO87" s="1"/>
      <c r="BP87" s="1"/>
      <c r="BQ87" s="1"/>
      <c r="BR87" s="1" t="s">
        <v>131</v>
      </c>
      <c r="BS87" s="1"/>
      <c r="BT87" s="1"/>
      <c r="BU87" s="1" t="s">
        <v>123</v>
      </c>
      <c r="BV87" s="1" t="s">
        <v>860</v>
      </c>
      <c r="BW87" s="1" t="s">
        <v>603</v>
      </c>
      <c r="BX87" s="1" t="s">
        <v>125</v>
      </c>
      <c r="BY87" s="1" t="s">
        <v>341</v>
      </c>
      <c r="BZ87" s="1">
        <v>10</v>
      </c>
      <c r="CA87" s="1" t="s">
        <v>861</v>
      </c>
      <c r="CB87" s="1" t="s">
        <v>862</v>
      </c>
      <c r="CC87" s="1">
        <v>638454</v>
      </c>
      <c r="CD87" s="1" t="s">
        <v>164</v>
      </c>
      <c r="CE87" s="1" t="s">
        <v>863</v>
      </c>
      <c r="CF87" s="1" t="s">
        <v>146</v>
      </c>
      <c r="CG87" s="1"/>
      <c r="CH87" s="1"/>
      <c r="CI87" s="1" t="str">
        <f>"0"</f>
        <v>0</v>
      </c>
      <c r="CJ87" s="1"/>
      <c r="CK87" s="1"/>
      <c r="CL87" s="1" t="s">
        <v>131</v>
      </c>
      <c r="CM87" s="1"/>
      <c r="CN87" s="1" t="s">
        <v>132</v>
      </c>
      <c r="CO87" s="1" t="s">
        <v>118</v>
      </c>
    </row>
    <row r="88" spans="1:93" x14ac:dyDescent="0.3">
      <c r="A88" s="1">
        <v>2879008</v>
      </c>
      <c r="B88" s="1">
        <v>1311749</v>
      </c>
      <c r="C88" s="1" t="str">
        <f>"701223400870"</f>
        <v>701223400870</v>
      </c>
      <c r="D88" s="1" t="s">
        <v>864</v>
      </c>
      <c r="E88" s="1" t="s">
        <v>865</v>
      </c>
      <c r="F88" s="1" t="s">
        <v>866</v>
      </c>
      <c r="G88" s="2">
        <v>25925</v>
      </c>
      <c r="H88" s="1"/>
      <c r="I88" s="1" t="s">
        <v>106</v>
      </c>
      <c r="J88" s="1" t="s">
        <v>107</v>
      </c>
      <c r="K88" s="1" t="s">
        <v>108</v>
      </c>
      <c r="L88" s="1"/>
      <c r="M88" s="1"/>
      <c r="N88" s="1"/>
      <c r="O88" s="1"/>
      <c r="P88" s="1" t="s">
        <v>109</v>
      </c>
      <c r="Q88" s="1" t="s">
        <v>136</v>
      </c>
      <c r="R88" s="1"/>
      <c r="S88" s="1"/>
      <c r="T88" s="1"/>
      <c r="U88" s="1"/>
      <c r="V88" s="1"/>
      <c r="W88" s="1" t="str">
        <f>"2023-09-01T00:00:00"</f>
        <v>2023-09-01T00:00:00</v>
      </c>
      <c r="X88" s="1" t="str">
        <f>"210"</f>
        <v>210</v>
      </c>
      <c r="Y88" s="1"/>
      <c r="Z88" s="1" t="s">
        <v>110</v>
      </c>
      <c r="AA88" s="1" t="s">
        <v>111</v>
      </c>
      <c r="AB88" s="1"/>
      <c r="AC88" s="1"/>
      <c r="AD88" s="1"/>
      <c r="AE88" s="1" t="s">
        <v>138</v>
      </c>
      <c r="AF88" s="1" t="s">
        <v>440</v>
      </c>
      <c r="AG88" s="1">
        <v>1.5</v>
      </c>
      <c r="AH88" s="1" t="s">
        <v>114</v>
      </c>
      <c r="AI88" s="1" t="s">
        <v>115</v>
      </c>
      <c r="AJ88" s="1" t="s">
        <v>441</v>
      </c>
      <c r="AK88" s="1"/>
      <c r="AL88" s="1"/>
      <c r="AM88" s="1"/>
      <c r="AN88" s="1" t="s">
        <v>442</v>
      </c>
      <c r="AO88" s="1"/>
      <c r="AP88" s="1" t="str">
        <f>"20"</f>
        <v>20</v>
      </c>
      <c r="AQ88" s="1" t="str">
        <f>"20"</f>
        <v>20</v>
      </c>
      <c r="AR88" s="1"/>
      <c r="AS88" s="1" t="str">
        <f>"0"</f>
        <v>0</v>
      </c>
      <c r="AT88" s="1" t="str">
        <f t="shared" si="6"/>
        <v>0</v>
      </c>
      <c r="AU88" s="1"/>
      <c r="AV88" s="1"/>
      <c r="AW88" s="1"/>
      <c r="AX88" s="1"/>
      <c r="AY88" s="1"/>
      <c r="AZ88" s="1"/>
      <c r="BA88" s="1"/>
      <c r="BB88" s="1"/>
      <c r="BC88" s="1"/>
      <c r="BD88" s="1"/>
      <c r="BE88" s="1"/>
      <c r="BF88" s="1"/>
      <c r="BG88" s="1"/>
      <c r="BH88" s="1" t="s">
        <v>118</v>
      </c>
      <c r="BI88" s="1">
        <v>0</v>
      </c>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row>
    <row r="89" spans="1:93" hidden="1" x14ac:dyDescent="0.3">
      <c r="A89" s="1">
        <v>2879171</v>
      </c>
      <c r="B89" s="1">
        <v>1803866</v>
      </c>
      <c r="C89" s="1" t="str">
        <f>"001005650858"</f>
        <v>001005650858</v>
      </c>
      <c r="D89" s="1" t="s">
        <v>867</v>
      </c>
      <c r="E89" s="1" t="s">
        <v>868</v>
      </c>
      <c r="F89" s="1" t="s">
        <v>869</v>
      </c>
      <c r="G89" s="2">
        <v>36804</v>
      </c>
      <c r="H89" s="1"/>
      <c r="I89" s="1" t="s">
        <v>106</v>
      </c>
      <c r="J89" s="1" t="s">
        <v>107</v>
      </c>
      <c r="K89" s="1" t="s">
        <v>108</v>
      </c>
      <c r="L89" s="1"/>
      <c r="M89" s="1"/>
      <c r="N89" s="1"/>
      <c r="O89" s="1"/>
      <c r="P89" s="1" t="s">
        <v>109</v>
      </c>
      <c r="Q89" s="1" t="s">
        <v>136</v>
      </c>
      <c r="R89" s="1"/>
      <c r="S89" s="1"/>
      <c r="T89" s="1"/>
      <c r="U89" s="1"/>
      <c r="V89" s="1"/>
      <c r="W89" s="1" t="str">
        <f>"2023-09-01T00:00:00"</f>
        <v>2023-09-01T00:00:00</v>
      </c>
      <c r="X89" s="1" t="str">
        <f>"209"</f>
        <v>209</v>
      </c>
      <c r="Y89" s="1"/>
      <c r="Z89" s="1" t="s">
        <v>110</v>
      </c>
      <c r="AA89" s="1" t="s">
        <v>111</v>
      </c>
      <c r="AB89" s="1"/>
      <c r="AC89" s="1"/>
      <c r="AD89" s="1"/>
      <c r="AE89" s="1" t="s">
        <v>138</v>
      </c>
      <c r="AF89" s="1" t="s">
        <v>169</v>
      </c>
      <c r="AG89" s="1">
        <v>1</v>
      </c>
      <c r="AH89" s="1" t="s">
        <v>114</v>
      </c>
      <c r="AI89" s="1" t="s">
        <v>115</v>
      </c>
      <c r="AJ89" s="1" t="s">
        <v>116</v>
      </c>
      <c r="AK89" s="1"/>
      <c r="AL89" s="1"/>
      <c r="AM89" s="1"/>
      <c r="AN89" s="1" t="s">
        <v>117</v>
      </c>
      <c r="AO89" s="1" t="s">
        <v>118</v>
      </c>
      <c r="AP89" s="1" t="str">
        <f>"0"</f>
        <v>0</v>
      </c>
      <c r="AQ89" s="1" t="str">
        <f>"0"</f>
        <v>0</v>
      </c>
      <c r="AR89" s="1" t="str">
        <f>"0"</f>
        <v>0</v>
      </c>
      <c r="AS89" s="1" t="str">
        <f>"0"</f>
        <v>0</v>
      </c>
      <c r="AT89" s="1" t="str">
        <f t="shared" si="6"/>
        <v>0</v>
      </c>
      <c r="AU89" s="1" t="str">
        <f>"dalmira@mail.ru"</f>
        <v>dalmira@mail.ru</v>
      </c>
      <c r="AV89" s="1" t="str">
        <f>"87711145475"</f>
        <v>87711145475</v>
      </c>
      <c r="AW89" s="1" t="s">
        <v>119</v>
      </c>
      <c r="AX89" s="1"/>
      <c r="AY89" s="1"/>
      <c r="AZ89" s="1" t="s">
        <v>120</v>
      </c>
      <c r="BA89" s="1"/>
      <c r="BB89" s="1"/>
      <c r="BC89" s="1"/>
      <c r="BD89" s="1"/>
      <c r="BE89" s="1"/>
      <c r="BF89" s="1"/>
      <c r="BG89" s="1"/>
      <c r="BH89" s="1" t="s">
        <v>113</v>
      </c>
      <c r="BI89" s="1">
        <v>0.2</v>
      </c>
      <c r="BJ89" s="1" t="s">
        <v>119</v>
      </c>
      <c r="BK89" s="1"/>
      <c r="BL89" s="1" t="s">
        <v>394</v>
      </c>
      <c r="BM89" s="1">
        <v>0.2</v>
      </c>
      <c r="BN89" s="1" t="s">
        <v>142</v>
      </c>
      <c r="BO89" s="1"/>
      <c r="BP89" s="1"/>
      <c r="BQ89" s="1"/>
      <c r="BR89" s="1" t="s">
        <v>131</v>
      </c>
      <c r="BS89" s="1"/>
      <c r="BT89" s="1"/>
      <c r="BU89" s="1" t="s">
        <v>535</v>
      </c>
      <c r="BV89" s="1"/>
      <c r="BW89" s="1"/>
      <c r="BX89" s="1"/>
      <c r="BY89" s="1"/>
      <c r="BZ89" s="1"/>
      <c r="CA89" s="1"/>
      <c r="CB89" s="1"/>
      <c r="CC89" s="1"/>
      <c r="CD89" s="1" t="s">
        <v>164</v>
      </c>
      <c r="CE89" s="1" t="s">
        <v>870</v>
      </c>
      <c r="CF89" s="3">
        <v>45383</v>
      </c>
      <c r="CG89" s="1"/>
      <c r="CH89" s="1"/>
      <c r="CI89" s="1" t="str">
        <f>"0"</f>
        <v>0</v>
      </c>
      <c r="CJ89" s="1"/>
      <c r="CK89" s="1"/>
      <c r="CL89" s="1" t="s">
        <v>136</v>
      </c>
      <c r="CM89" s="1"/>
      <c r="CN89" s="1" t="s">
        <v>132</v>
      </c>
      <c r="CO89" s="1" t="s">
        <v>230</v>
      </c>
    </row>
    <row r="90" spans="1:93" hidden="1" x14ac:dyDescent="0.3">
      <c r="A90" s="1">
        <v>2879232</v>
      </c>
      <c r="B90" s="1">
        <v>135175</v>
      </c>
      <c r="C90" s="1" t="str">
        <f>"820411450593"</f>
        <v>820411450593</v>
      </c>
      <c r="D90" s="1" t="s">
        <v>871</v>
      </c>
      <c r="E90" s="1" t="s">
        <v>679</v>
      </c>
      <c r="F90" s="1" t="s">
        <v>872</v>
      </c>
      <c r="G90" s="2">
        <v>30052</v>
      </c>
      <c r="H90" s="1"/>
      <c r="I90" s="1" t="s">
        <v>106</v>
      </c>
      <c r="J90" s="1" t="s">
        <v>107</v>
      </c>
      <c r="K90" s="1" t="s">
        <v>108</v>
      </c>
      <c r="L90" s="1"/>
      <c r="M90" s="1"/>
      <c r="N90" s="1"/>
      <c r="O90" s="1"/>
      <c r="P90" s="1" t="s">
        <v>109</v>
      </c>
      <c r="Q90" s="1" t="s">
        <v>136</v>
      </c>
      <c r="R90" s="1"/>
      <c r="S90" s="1"/>
      <c r="T90" s="1"/>
      <c r="U90" s="1"/>
      <c r="V90" s="1"/>
      <c r="W90" s="1" t="str">
        <f>"2023-09-01T00:00:00"</f>
        <v>2023-09-01T00:00:00</v>
      </c>
      <c r="X90" s="1" t="str">
        <f>"213"</f>
        <v>213</v>
      </c>
      <c r="Y90" s="1"/>
      <c r="Z90" s="1" t="s">
        <v>110</v>
      </c>
      <c r="AA90" s="1" t="s">
        <v>111</v>
      </c>
      <c r="AB90" s="1"/>
      <c r="AC90" s="1"/>
      <c r="AD90" s="1"/>
      <c r="AE90" s="1" t="s">
        <v>138</v>
      </c>
      <c r="AF90" s="1" t="s">
        <v>113</v>
      </c>
      <c r="AG90" s="1">
        <v>1.5</v>
      </c>
      <c r="AH90" s="1" t="s">
        <v>114</v>
      </c>
      <c r="AI90" s="1" t="s">
        <v>115</v>
      </c>
      <c r="AJ90" s="1" t="s">
        <v>116</v>
      </c>
      <c r="AK90" s="1"/>
      <c r="AL90" s="1"/>
      <c r="AM90" s="1"/>
      <c r="AN90" s="1" t="s">
        <v>117</v>
      </c>
      <c r="AO90" s="1" t="s">
        <v>118</v>
      </c>
      <c r="AP90" s="1" t="str">
        <f>"19"</f>
        <v>19</v>
      </c>
      <c r="AQ90" s="1" t="str">
        <f>"19"</f>
        <v>19</v>
      </c>
      <c r="AR90" s="1" t="str">
        <f>"19"</f>
        <v>19</v>
      </c>
      <c r="AS90" s="1" t="str">
        <f>"19"</f>
        <v>19</v>
      </c>
      <c r="AT90" s="1" t="str">
        <f t="shared" si="6"/>
        <v>0</v>
      </c>
      <c r="AU90" s="1" t="str">
        <f>"muhamejarovasandugash@yandex.kz"</f>
        <v>muhamejarovasandugash@yandex.kz</v>
      </c>
      <c r="AV90" s="1" t="str">
        <f>"87711161182"</f>
        <v>87711161182</v>
      </c>
      <c r="AW90" s="1" t="s">
        <v>139</v>
      </c>
      <c r="AX90" s="1" t="s">
        <v>153</v>
      </c>
      <c r="AY90" s="1"/>
      <c r="AZ90" s="1" t="s">
        <v>120</v>
      </c>
      <c r="BA90" s="1"/>
      <c r="BB90" s="1"/>
      <c r="BC90" s="1"/>
      <c r="BD90" s="1" t="s">
        <v>515</v>
      </c>
      <c r="BE90" s="1" t="s">
        <v>122</v>
      </c>
      <c r="BF90" s="1">
        <v>1.5</v>
      </c>
      <c r="BG90" s="1" t="str">
        <f>"[24]"</f>
        <v>[24]</v>
      </c>
      <c r="BH90" s="1" t="s">
        <v>118</v>
      </c>
      <c r="BI90" s="1">
        <v>0</v>
      </c>
      <c r="BJ90" s="1"/>
      <c r="BK90" s="1"/>
      <c r="BL90" s="1"/>
      <c r="BM90" s="1"/>
      <c r="BN90" s="1" t="s">
        <v>142</v>
      </c>
      <c r="BO90" s="1"/>
      <c r="BP90" s="1"/>
      <c r="BQ90" s="1"/>
      <c r="BR90" s="1" t="s">
        <v>131</v>
      </c>
      <c r="BS90" s="1"/>
      <c r="BT90" s="1"/>
      <c r="BU90" s="1" t="s">
        <v>123</v>
      </c>
      <c r="BV90" s="1" t="s">
        <v>515</v>
      </c>
      <c r="BW90" s="1" t="s">
        <v>727</v>
      </c>
      <c r="BX90" s="1" t="s">
        <v>517</v>
      </c>
      <c r="BY90" s="1" t="s">
        <v>341</v>
      </c>
      <c r="BZ90" s="1">
        <v>40</v>
      </c>
      <c r="CA90" s="1" t="s">
        <v>873</v>
      </c>
      <c r="CB90" s="1" t="s">
        <v>874</v>
      </c>
      <c r="CC90" s="1" t="s">
        <v>875</v>
      </c>
      <c r="CD90" s="1" t="s">
        <v>164</v>
      </c>
      <c r="CE90" s="1" t="s">
        <v>876</v>
      </c>
      <c r="CF90" s="3">
        <v>45383</v>
      </c>
      <c r="CG90" s="1"/>
      <c r="CH90" s="1"/>
      <c r="CI90" s="1" t="str">
        <f>"0"</f>
        <v>0</v>
      </c>
      <c r="CJ90" s="1"/>
      <c r="CK90" s="1"/>
      <c r="CL90" s="1" t="s">
        <v>131</v>
      </c>
      <c r="CM90" s="1"/>
      <c r="CN90" s="1" t="s">
        <v>132</v>
      </c>
      <c r="CO90" s="1" t="s">
        <v>118</v>
      </c>
    </row>
    <row r="91" spans="1:93" hidden="1" x14ac:dyDescent="0.3">
      <c r="A91" s="1">
        <v>2928300</v>
      </c>
      <c r="B91" s="1">
        <v>1297563</v>
      </c>
      <c r="C91" s="1" t="str">
        <f>"790703402463"</f>
        <v>790703402463</v>
      </c>
      <c r="D91" s="1" t="s">
        <v>877</v>
      </c>
      <c r="E91" s="1" t="s">
        <v>878</v>
      </c>
      <c r="F91" s="1" t="s">
        <v>475</v>
      </c>
      <c r="G91" s="2">
        <v>29039</v>
      </c>
      <c r="H91" s="1"/>
      <c r="I91" s="1" t="s">
        <v>106</v>
      </c>
      <c r="J91" s="1" t="s">
        <v>107</v>
      </c>
      <c r="K91" s="1" t="s">
        <v>198</v>
      </c>
      <c r="L91" s="1"/>
      <c r="M91" s="1"/>
      <c r="N91" s="1"/>
      <c r="O91" s="1"/>
      <c r="P91" s="1" t="s">
        <v>109</v>
      </c>
      <c r="Q91" s="1" t="s">
        <v>136</v>
      </c>
      <c r="R91" s="1"/>
      <c r="S91" s="1"/>
      <c r="T91" s="1"/>
      <c r="U91" s="1"/>
      <c r="V91" s="1"/>
      <c r="W91" s="1" t="str">
        <f>"2023-11-06T00:00:00"</f>
        <v>2023-11-06T00:00:00</v>
      </c>
      <c r="X91" s="1" t="str">
        <f>"256/2"</f>
        <v>256/2</v>
      </c>
      <c r="Y91" s="1"/>
      <c r="Z91" s="1" t="s">
        <v>110</v>
      </c>
      <c r="AA91" s="1" t="s">
        <v>111</v>
      </c>
      <c r="AB91" s="1"/>
      <c r="AC91" s="1"/>
      <c r="AD91" s="1"/>
      <c r="AE91" s="1" t="s">
        <v>138</v>
      </c>
      <c r="AF91" s="1" t="s">
        <v>879</v>
      </c>
      <c r="AG91" s="1">
        <v>0.5</v>
      </c>
      <c r="AH91" s="1" t="s">
        <v>705</v>
      </c>
      <c r="AI91" s="1" t="s">
        <v>115</v>
      </c>
      <c r="AJ91" s="1" t="s">
        <v>116</v>
      </c>
      <c r="AK91" s="1"/>
      <c r="AL91" s="1"/>
      <c r="AM91" s="1"/>
      <c r="AN91" s="1" t="s">
        <v>117</v>
      </c>
      <c r="AO91" s="1" t="s">
        <v>151</v>
      </c>
      <c r="AP91" s="1" t="str">
        <f>"5"</f>
        <v>5</v>
      </c>
      <c r="AQ91" s="1" t="str">
        <f>"5"</f>
        <v>5</v>
      </c>
      <c r="AR91" s="1" t="str">
        <f>"5"</f>
        <v>5</v>
      </c>
      <c r="AS91" s="1" t="str">
        <f>"5"</f>
        <v>5</v>
      </c>
      <c r="AT91" s="1" t="str">
        <f t="shared" si="6"/>
        <v>0</v>
      </c>
      <c r="AU91" s="1" t="str">
        <f>"eva.alimbaeva79@bk.ru"</f>
        <v>eva.alimbaeva79@bk.ru</v>
      </c>
      <c r="AV91" s="1" t="str">
        <f>"87712565784"</f>
        <v>87712565784</v>
      </c>
      <c r="AW91" s="1" t="s">
        <v>139</v>
      </c>
      <c r="AX91" s="1" t="s">
        <v>140</v>
      </c>
      <c r="AY91" s="1"/>
      <c r="AZ91" s="1" t="s">
        <v>204</v>
      </c>
      <c r="BA91" s="1"/>
      <c r="BB91" s="1"/>
      <c r="BC91" s="1"/>
      <c r="BD91" s="1"/>
      <c r="BE91" s="1"/>
      <c r="BF91" s="1"/>
      <c r="BG91" s="1"/>
      <c r="BH91" s="1" t="s">
        <v>118</v>
      </c>
      <c r="BI91" s="1">
        <v>0</v>
      </c>
      <c r="BJ91" s="1"/>
      <c r="BK91" s="1"/>
      <c r="BL91" s="1"/>
      <c r="BM91" s="1"/>
      <c r="BN91" s="1" t="s">
        <v>154</v>
      </c>
      <c r="BO91" s="1"/>
      <c r="BP91" s="1"/>
      <c r="BQ91" s="1"/>
      <c r="BR91" s="1" t="s">
        <v>131</v>
      </c>
      <c r="BS91" s="1" t="s">
        <v>502</v>
      </c>
      <c r="BT91" s="1"/>
      <c r="BU91" s="1" t="s">
        <v>880</v>
      </c>
      <c r="BV91" s="1" t="s">
        <v>834</v>
      </c>
      <c r="BW91" s="1" t="s">
        <v>881</v>
      </c>
      <c r="BX91" s="1" t="s">
        <v>174</v>
      </c>
      <c r="BY91" s="1" t="s">
        <v>209</v>
      </c>
      <c r="BZ91" s="1" t="s">
        <v>188</v>
      </c>
      <c r="CA91" s="1" t="s">
        <v>882</v>
      </c>
      <c r="CB91" s="1" t="s">
        <v>883</v>
      </c>
      <c r="CC91" s="1" t="s">
        <v>884</v>
      </c>
      <c r="CD91" s="1" t="s">
        <v>164</v>
      </c>
      <c r="CE91" s="1"/>
      <c r="CF91" s="1"/>
      <c r="CG91" s="1"/>
      <c r="CH91" s="1"/>
      <c r="CI91" s="1"/>
      <c r="CJ91" s="1"/>
      <c r="CK91" s="1"/>
      <c r="CL91" s="1" t="s">
        <v>136</v>
      </c>
      <c r="CM91" s="1"/>
      <c r="CN91" s="1" t="s">
        <v>132</v>
      </c>
      <c r="CO91" s="1" t="s">
        <v>841</v>
      </c>
    </row>
    <row r="92" spans="1:93" x14ac:dyDescent="0.3">
      <c r="A92" s="1">
        <v>2928342</v>
      </c>
      <c r="B92" s="1">
        <v>165799</v>
      </c>
      <c r="C92" s="1" t="str">
        <f>"881007450421"</f>
        <v>881007450421</v>
      </c>
      <c r="D92" s="1" t="s">
        <v>885</v>
      </c>
      <c r="E92" s="1" t="s">
        <v>886</v>
      </c>
      <c r="F92" s="1" t="s">
        <v>197</v>
      </c>
      <c r="G92" s="2">
        <v>32423</v>
      </c>
      <c r="H92" s="1"/>
      <c r="I92" s="1" t="s">
        <v>106</v>
      </c>
      <c r="J92" s="1" t="s">
        <v>107</v>
      </c>
      <c r="K92" s="1" t="s">
        <v>198</v>
      </c>
      <c r="L92" s="1"/>
      <c r="M92" s="1"/>
      <c r="N92" s="1"/>
      <c r="O92" s="1"/>
      <c r="P92" s="1" t="s">
        <v>109</v>
      </c>
      <c r="Q92" s="1" t="s">
        <v>136</v>
      </c>
      <c r="R92" s="1"/>
      <c r="S92" s="1"/>
      <c r="T92" s="1"/>
      <c r="U92" s="1"/>
      <c r="V92" s="1"/>
      <c r="W92" s="1" t="str">
        <f>"2023-11-08T00:00:00"</f>
        <v>2023-11-08T00:00:00</v>
      </c>
      <c r="X92" s="1" t="str">
        <f>"258"</f>
        <v>258</v>
      </c>
      <c r="Y92" s="1"/>
      <c r="Z92" s="1" t="s">
        <v>110</v>
      </c>
      <c r="AA92" s="1" t="s">
        <v>111</v>
      </c>
      <c r="AB92" s="1"/>
      <c r="AC92" s="1"/>
      <c r="AD92" s="1"/>
      <c r="AE92" s="1" t="s">
        <v>138</v>
      </c>
      <c r="AF92" s="1" t="s">
        <v>440</v>
      </c>
      <c r="AG92" s="1">
        <v>1.5</v>
      </c>
      <c r="AH92" s="1" t="s">
        <v>114</v>
      </c>
      <c r="AI92" s="1" t="s">
        <v>115</v>
      </c>
      <c r="AJ92" s="1" t="s">
        <v>446</v>
      </c>
      <c r="AK92" s="1"/>
      <c r="AL92" s="1"/>
      <c r="AM92" s="1"/>
      <c r="AN92" s="1" t="s">
        <v>442</v>
      </c>
      <c r="AO92" s="1"/>
      <c r="AP92" s="1" t="str">
        <f>"3"</f>
        <v>3</v>
      </c>
      <c r="AQ92" s="1" t="str">
        <f>"3"</f>
        <v>3</v>
      </c>
      <c r="AR92" s="1"/>
      <c r="AS92" s="1" t="str">
        <f>"0"</f>
        <v>0</v>
      </c>
      <c r="AT92" s="1" t="str">
        <f t="shared" si="6"/>
        <v>0</v>
      </c>
      <c r="AU92" s="1" t="str">
        <f>"stepnogorskddt@mail.ru"</f>
        <v>stepnogorskddt@mail.ru</v>
      </c>
      <c r="AV92" s="1" t="str">
        <f>"8 702 123 31 81"</f>
        <v>8 702 123 31 81</v>
      </c>
      <c r="AW92" s="1"/>
      <c r="AX92" s="1"/>
      <c r="AY92" s="1"/>
      <c r="AZ92" s="1"/>
      <c r="BA92" s="1"/>
      <c r="BB92" s="1"/>
      <c r="BC92" s="1"/>
      <c r="BD92" s="1"/>
      <c r="BE92" s="1"/>
      <c r="BF92" s="1"/>
      <c r="BG92" s="1"/>
      <c r="BH92" s="1" t="s">
        <v>118</v>
      </c>
      <c r="BI92" s="1">
        <v>0</v>
      </c>
      <c r="BJ92" s="1"/>
      <c r="BK92" s="1"/>
      <c r="BL92" s="1"/>
      <c r="BM92" s="1"/>
      <c r="BN92" s="1"/>
      <c r="BO92" s="1"/>
      <c r="BP92" s="1"/>
      <c r="BQ92" s="1"/>
      <c r="BR92" s="1"/>
      <c r="BS92" s="1"/>
      <c r="BT92" s="1"/>
      <c r="BU92" s="1" t="s">
        <v>887</v>
      </c>
      <c r="BV92" s="1" t="s">
        <v>164</v>
      </c>
      <c r="BW92" s="1"/>
      <c r="BX92" s="1"/>
      <c r="BY92" s="1"/>
      <c r="BZ92" s="1"/>
      <c r="CA92" s="1"/>
      <c r="CB92" s="1"/>
      <c r="CC92" s="1"/>
      <c r="CD92" s="1"/>
      <c r="CE92" s="1"/>
      <c r="CF92" s="1"/>
      <c r="CG92" s="1"/>
      <c r="CH92" s="1"/>
      <c r="CI92" s="1"/>
      <c r="CJ92" s="1"/>
      <c r="CK92" s="1"/>
      <c r="CL92" s="1"/>
      <c r="CM92" s="1"/>
      <c r="CN92" s="1"/>
      <c r="CO92" s="1"/>
    </row>
    <row r="93" spans="1:93" x14ac:dyDescent="0.3">
      <c r="A93" s="1">
        <v>2928358</v>
      </c>
      <c r="B93" s="1">
        <v>1821815</v>
      </c>
      <c r="C93" s="1" t="str">
        <f>"011229650888"</f>
        <v>011229650888</v>
      </c>
      <c r="D93" s="1" t="s">
        <v>644</v>
      </c>
      <c r="E93" s="1" t="s">
        <v>888</v>
      </c>
      <c r="F93" s="1" t="s">
        <v>889</v>
      </c>
      <c r="G93" s="2">
        <v>37254</v>
      </c>
      <c r="H93" s="1"/>
      <c r="I93" s="1" t="s">
        <v>106</v>
      </c>
      <c r="J93" s="1" t="s">
        <v>107</v>
      </c>
      <c r="K93" s="1" t="s">
        <v>108</v>
      </c>
      <c r="L93" s="1"/>
      <c r="M93" s="1"/>
      <c r="N93" s="1"/>
      <c r="O93" s="1"/>
      <c r="P93" s="1" t="s">
        <v>109</v>
      </c>
      <c r="Q93" s="1" t="s">
        <v>136</v>
      </c>
      <c r="R93" s="1"/>
      <c r="S93" s="1"/>
      <c r="T93" s="1"/>
      <c r="U93" s="1"/>
      <c r="V93" s="1"/>
      <c r="W93" s="1" t="str">
        <f>"2023-11-01T00:00:00"</f>
        <v>2023-11-01T00:00:00</v>
      </c>
      <c r="X93" s="1" t="str">
        <f>"254"</f>
        <v>254</v>
      </c>
      <c r="Y93" s="1"/>
      <c r="Z93" s="1" t="s">
        <v>110</v>
      </c>
      <c r="AA93" s="1" t="s">
        <v>111</v>
      </c>
      <c r="AB93" s="1"/>
      <c r="AC93" s="1"/>
      <c r="AD93" s="1"/>
      <c r="AE93" s="1" t="s">
        <v>138</v>
      </c>
      <c r="AF93" s="1" t="s">
        <v>711</v>
      </c>
      <c r="AG93" s="1">
        <v>0.5</v>
      </c>
      <c r="AH93" s="1" t="s">
        <v>114</v>
      </c>
      <c r="AI93" s="1" t="s">
        <v>115</v>
      </c>
      <c r="AJ93" s="1" t="s">
        <v>441</v>
      </c>
      <c r="AK93" s="1"/>
      <c r="AL93" s="1"/>
      <c r="AM93" s="1"/>
      <c r="AN93" s="1" t="s">
        <v>442</v>
      </c>
      <c r="AO93" s="1"/>
      <c r="AP93" s="1" t="str">
        <f>"2"</f>
        <v>2</v>
      </c>
      <c r="AQ93" s="1" t="str">
        <f>"2"</f>
        <v>2</v>
      </c>
      <c r="AR93" s="1"/>
      <c r="AS93" s="1" t="str">
        <f>"0"</f>
        <v>0</v>
      </c>
      <c r="AT93" s="1" t="str">
        <f t="shared" si="6"/>
        <v>0</v>
      </c>
      <c r="AU93" s="1"/>
      <c r="AV93" s="1"/>
      <c r="AW93" s="1"/>
      <c r="AX93" s="1"/>
      <c r="AY93" s="1"/>
      <c r="AZ93" s="1"/>
      <c r="BA93" s="1"/>
      <c r="BB93" s="1"/>
      <c r="BC93" s="1"/>
      <c r="BD93" s="1"/>
      <c r="BE93" s="1"/>
      <c r="BF93" s="1"/>
      <c r="BG93" s="1"/>
      <c r="BH93" s="1" t="s">
        <v>890</v>
      </c>
      <c r="BI93" s="1">
        <v>0.5</v>
      </c>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row>
    <row r="94" spans="1:93" x14ac:dyDescent="0.3">
      <c r="A94" s="1">
        <v>2974703</v>
      </c>
      <c r="B94" s="1">
        <v>1838336</v>
      </c>
      <c r="C94" s="1" t="str">
        <f>"650101400357"</f>
        <v>650101400357</v>
      </c>
      <c r="D94" s="1" t="s">
        <v>891</v>
      </c>
      <c r="E94" s="1" t="s">
        <v>892</v>
      </c>
      <c r="F94" s="1" t="s">
        <v>893</v>
      </c>
      <c r="G94" s="2">
        <v>23743</v>
      </c>
      <c r="H94" s="1"/>
      <c r="I94" s="1" t="s">
        <v>106</v>
      </c>
      <c r="J94" s="1" t="s">
        <v>107</v>
      </c>
      <c r="K94" s="1" t="s">
        <v>108</v>
      </c>
      <c r="L94" s="1"/>
      <c r="M94" s="1"/>
      <c r="N94" s="1"/>
      <c r="O94" s="1"/>
      <c r="P94" s="1" t="s">
        <v>109</v>
      </c>
      <c r="Q94" s="1" t="s">
        <v>136</v>
      </c>
      <c r="R94" s="1"/>
      <c r="S94" s="1"/>
      <c r="T94" s="1"/>
      <c r="U94" s="1"/>
      <c r="V94" s="1"/>
      <c r="W94" s="1" t="str">
        <f>"2024-01-08T00:00:00"</f>
        <v>2024-01-08T00:00:00</v>
      </c>
      <c r="X94" s="1" t="str">
        <f>"4"</f>
        <v>4</v>
      </c>
      <c r="Y94" s="1"/>
      <c r="Z94" s="1" t="s">
        <v>110</v>
      </c>
      <c r="AA94" s="1" t="s">
        <v>111</v>
      </c>
      <c r="AB94" s="1"/>
      <c r="AC94" s="1"/>
      <c r="AD94" s="1"/>
      <c r="AE94" s="1" t="s">
        <v>138</v>
      </c>
      <c r="AF94" s="1" t="s">
        <v>894</v>
      </c>
      <c r="AG94" s="1">
        <v>1</v>
      </c>
      <c r="AH94" s="1" t="s">
        <v>114</v>
      </c>
      <c r="AI94" s="1" t="s">
        <v>115</v>
      </c>
      <c r="AJ94" s="1" t="s">
        <v>706</v>
      </c>
      <c r="AK94" s="1"/>
      <c r="AL94" s="1"/>
      <c r="AM94" s="1"/>
      <c r="AN94" s="1" t="s">
        <v>442</v>
      </c>
      <c r="AO94" s="1"/>
      <c r="AP94" s="1" t="str">
        <f>"0"</f>
        <v>0</v>
      </c>
      <c r="AQ94" s="1" t="str">
        <f>"0"</f>
        <v>0</v>
      </c>
      <c r="AR94" s="1"/>
      <c r="AS94" s="1" t="str">
        <f>"0"</f>
        <v>0</v>
      </c>
      <c r="AT94" s="1" t="str">
        <f t="shared" si="6"/>
        <v>0</v>
      </c>
      <c r="AU94" s="1"/>
      <c r="AV94" s="1"/>
      <c r="AW94" s="1"/>
      <c r="AX94" s="1"/>
      <c r="AY94" s="1"/>
      <c r="AZ94" s="1"/>
      <c r="BA94" s="1"/>
      <c r="BB94" s="1"/>
      <c r="BC94" s="1"/>
      <c r="BD94" s="1"/>
      <c r="BE94" s="1"/>
      <c r="BF94" s="1"/>
      <c r="BG94" s="1"/>
      <c r="BH94" s="1" t="s">
        <v>118</v>
      </c>
      <c r="BI94" s="1">
        <v>0</v>
      </c>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row>
    <row r="95" spans="1:93" x14ac:dyDescent="0.3">
      <c r="A95" s="1">
        <v>2974714</v>
      </c>
      <c r="B95" s="1">
        <v>1838339</v>
      </c>
      <c r="C95" s="1" t="str">
        <f>"790514401993"</f>
        <v>790514401993</v>
      </c>
      <c r="D95" s="1" t="s">
        <v>214</v>
      </c>
      <c r="E95" s="1" t="s">
        <v>664</v>
      </c>
      <c r="F95" s="1" t="s">
        <v>895</v>
      </c>
      <c r="G95" s="2">
        <v>28989</v>
      </c>
      <c r="H95" s="1"/>
      <c r="I95" s="1" t="s">
        <v>106</v>
      </c>
      <c r="J95" s="1" t="s">
        <v>107</v>
      </c>
      <c r="K95" s="1" t="s">
        <v>108</v>
      </c>
      <c r="L95" s="1"/>
      <c r="M95" s="1"/>
      <c r="N95" s="1"/>
      <c r="O95" s="1"/>
      <c r="P95" s="1" t="s">
        <v>896</v>
      </c>
      <c r="Q95" s="1" t="s">
        <v>136</v>
      </c>
      <c r="R95" s="1"/>
      <c r="S95" s="1"/>
      <c r="T95" s="1"/>
      <c r="U95" s="1"/>
      <c r="V95" s="1"/>
      <c r="W95" s="1" t="str">
        <f>"2024-01-03T00:00:00"</f>
        <v>2024-01-03T00:00:00</v>
      </c>
      <c r="X95" s="1" t="str">
        <f>"1"</f>
        <v>1</v>
      </c>
      <c r="Y95" s="1"/>
      <c r="Z95" s="1" t="s">
        <v>110</v>
      </c>
      <c r="AA95" s="1" t="s">
        <v>111</v>
      </c>
      <c r="AB95" s="1"/>
      <c r="AC95" s="1"/>
      <c r="AD95" s="1"/>
      <c r="AE95" s="1" t="s">
        <v>138</v>
      </c>
      <c r="AF95" s="1" t="s">
        <v>897</v>
      </c>
      <c r="AG95" s="1">
        <v>1</v>
      </c>
      <c r="AH95" s="1" t="s">
        <v>114</v>
      </c>
      <c r="AI95" s="1" t="s">
        <v>115</v>
      </c>
      <c r="AJ95" s="1" t="s">
        <v>441</v>
      </c>
      <c r="AK95" s="1"/>
      <c r="AL95" s="1"/>
      <c r="AM95" s="1"/>
      <c r="AN95" s="1" t="s">
        <v>442</v>
      </c>
      <c r="AO95" s="1"/>
      <c r="AP95" s="1" t="str">
        <f>"0"</f>
        <v>0</v>
      </c>
      <c r="AQ95" s="1" t="str">
        <f>"0"</f>
        <v>0</v>
      </c>
      <c r="AR95" s="1"/>
      <c r="AS95" s="1" t="str">
        <f>"0"</f>
        <v>0</v>
      </c>
      <c r="AT95" s="1" t="str">
        <f t="shared" si="6"/>
        <v>0</v>
      </c>
      <c r="AU95" s="1"/>
      <c r="AV95" s="1"/>
      <c r="AW95" s="1"/>
      <c r="AX95" s="1"/>
      <c r="AY95" s="1"/>
      <c r="AZ95" s="1"/>
      <c r="BA95" s="1"/>
      <c r="BB95" s="1"/>
      <c r="BC95" s="1"/>
      <c r="BD95" s="1"/>
      <c r="BE95" s="1"/>
      <c r="BF95" s="1"/>
      <c r="BG95" s="1"/>
      <c r="BH95" s="1" t="s">
        <v>118</v>
      </c>
      <c r="BI95" s="1">
        <v>0</v>
      </c>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row>
    <row r="96" spans="1:93" hidden="1" x14ac:dyDescent="0.3">
      <c r="A96" s="1">
        <v>2994994</v>
      </c>
      <c r="B96" s="1">
        <v>1845411</v>
      </c>
      <c r="C96" s="1" t="str">
        <f>"790705401783"</f>
        <v>790705401783</v>
      </c>
      <c r="D96" s="1" t="s">
        <v>898</v>
      </c>
      <c r="E96" s="1" t="s">
        <v>899</v>
      </c>
      <c r="F96" s="1" t="s">
        <v>900</v>
      </c>
      <c r="G96" s="2">
        <v>29041</v>
      </c>
      <c r="H96" s="1"/>
      <c r="I96" s="1" t="s">
        <v>106</v>
      </c>
      <c r="J96" s="1" t="s">
        <v>107</v>
      </c>
      <c r="K96" s="1" t="s">
        <v>198</v>
      </c>
      <c r="L96" s="1"/>
      <c r="M96" s="1"/>
      <c r="N96" s="1"/>
      <c r="O96" s="1"/>
      <c r="P96" s="1" t="s">
        <v>109</v>
      </c>
      <c r="Q96" s="1"/>
      <c r="R96" s="1"/>
      <c r="S96" s="1"/>
      <c r="T96" s="1"/>
      <c r="U96" s="1"/>
      <c r="V96" s="1"/>
      <c r="W96" s="1" t="str">
        <f>"2024-02-05T00:00:00"</f>
        <v>2024-02-05T00:00:00</v>
      </c>
      <c r="X96" s="1" t="str">
        <f>"9"</f>
        <v>9</v>
      </c>
      <c r="Y96" s="1"/>
      <c r="Z96" s="1" t="s">
        <v>137</v>
      </c>
      <c r="AA96" s="1" t="s">
        <v>111</v>
      </c>
      <c r="AB96" s="1"/>
      <c r="AC96" s="1"/>
      <c r="AD96" s="1"/>
      <c r="AE96" s="1" t="s">
        <v>138</v>
      </c>
      <c r="AF96" s="1" t="s">
        <v>200</v>
      </c>
      <c r="AG96" s="1">
        <v>1.2</v>
      </c>
      <c r="AH96" s="1" t="s">
        <v>114</v>
      </c>
      <c r="AI96" s="1" t="s">
        <v>115</v>
      </c>
      <c r="AJ96" s="1" t="s">
        <v>116</v>
      </c>
      <c r="AK96" s="1"/>
      <c r="AL96" s="1"/>
      <c r="AM96" s="1"/>
      <c r="AN96" s="1" t="s">
        <v>117</v>
      </c>
      <c r="AO96" s="1" t="s">
        <v>118</v>
      </c>
      <c r="AP96" s="1" t="str">
        <f>"5"</f>
        <v>5</v>
      </c>
      <c r="AQ96" s="1" t="str">
        <f>"5"</f>
        <v>5</v>
      </c>
      <c r="AR96" s="1" t="str">
        <f>"5"</f>
        <v>5</v>
      </c>
      <c r="AS96" s="1" t="str">
        <f>"5"</f>
        <v>5</v>
      </c>
      <c r="AT96" s="1" t="str">
        <f t="shared" si="6"/>
        <v>0</v>
      </c>
      <c r="AU96" s="1" t="str">
        <f>"Zlayatyt@mail.ru"</f>
        <v>Zlayatyt@mail.ru</v>
      </c>
      <c r="AV96" s="1" t="str">
        <f>"87013784992"</f>
        <v>87013784992</v>
      </c>
      <c r="AW96" s="1" t="s">
        <v>119</v>
      </c>
      <c r="AX96" s="1"/>
      <c r="AY96" s="1"/>
      <c r="AZ96" s="1" t="s">
        <v>204</v>
      </c>
      <c r="BA96" s="1"/>
      <c r="BB96" s="1"/>
      <c r="BC96" s="1"/>
      <c r="BD96" s="1" t="s">
        <v>205</v>
      </c>
      <c r="BE96" s="1" t="s">
        <v>122</v>
      </c>
      <c r="BF96" s="1">
        <v>1.2</v>
      </c>
      <c r="BG96" s="1" t="str">
        <f>"[19]"</f>
        <v>[19]</v>
      </c>
      <c r="BH96" s="1" t="s">
        <v>118</v>
      </c>
      <c r="BI96" s="1">
        <v>0</v>
      </c>
      <c r="BJ96" s="1"/>
      <c r="BK96" s="1"/>
      <c r="BL96" s="1"/>
      <c r="BM96" s="1"/>
      <c r="BN96" s="1" t="s">
        <v>256</v>
      </c>
      <c r="BO96" s="1"/>
      <c r="BP96" s="1"/>
      <c r="BQ96" s="1"/>
      <c r="BR96" s="1" t="s">
        <v>131</v>
      </c>
      <c r="BS96" s="1"/>
      <c r="BT96" s="1"/>
      <c r="BU96" s="1" t="s">
        <v>535</v>
      </c>
      <c r="BV96" s="1"/>
      <c r="BW96" s="1"/>
      <c r="BX96" s="1"/>
      <c r="BY96" s="1"/>
      <c r="BZ96" s="1"/>
      <c r="CA96" s="1"/>
      <c r="CB96" s="1"/>
      <c r="CC96" s="1"/>
      <c r="CD96" s="1" t="s">
        <v>164</v>
      </c>
      <c r="CE96" s="1" t="s">
        <v>229</v>
      </c>
      <c r="CF96" s="3">
        <v>45383</v>
      </c>
      <c r="CG96" s="1"/>
      <c r="CH96" s="1"/>
      <c r="CI96" s="1" t="str">
        <f>"1"</f>
        <v>1</v>
      </c>
      <c r="CJ96" s="1"/>
      <c r="CK96" s="1"/>
      <c r="CL96" s="1" t="s">
        <v>131</v>
      </c>
      <c r="CM96" s="1"/>
      <c r="CN96" s="1" t="s">
        <v>132</v>
      </c>
      <c r="CO96" s="1" t="s">
        <v>118</v>
      </c>
    </row>
    <row r="97" spans="1:93" x14ac:dyDescent="0.3">
      <c r="A97" s="1">
        <v>2994998</v>
      </c>
      <c r="B97" s="1">
        <v>1845413</v>
      </c>
      <c r="C97" s="1" t="str">
        <f>"830105050744"</f>
        <v>830105050744</v>
      </c>
      <c r="D97" s="1" t="s">
        <v>901</v>
      </c>
      <c r="E97" s="1" t="s">
        <v>902</v>
      </c>
      <c r="F97" s="1" t="s">
        <v>903</v>
      </c>
      <c r="G97" s="2">
        <v>30321</v>
      </c>
      <c r="H97" s="1"/>
      <c r="I97" s="1" t="s">
        <v>106</v>
      </c>
      <c r="J97" s="1" t="s">
        <v>642</v>
      </c>
      <c r="K97" s="1" t="s">
        <v>108</v>
      </c>
      <c r="L97" s="1"/>
      <c r="M97" s="1"/>
      <c r="N97" s="1"/>
      <c r="O97" s="1"/>
      <c r="P97" s="1" t="s">
        <v>109</v>
      </c>
      <c r="Q97" s="1"/>
      <c r="R97" s="1"/>
      <c r="S97" s="1"/>
      <c r="T97" s="1"/>
      <c r="U97" s="1"/>
      <c r="V97" s="1"/>
      <c r="W97" s="1" t="str">
        <f>"2024-02-01T00:00:00"</f>
        <v>2024-02-01T00:00:00</v>
      </c>
      <c r="X97" s="1" t="str">
        <f>"8"</f>
        <v>8</v>
      </c>
      <c r="Y97" s="1"/>
      <c r="Z97" s="1" t="s">
        <v>488</v>
      </c>
      <c r="AA97" s="1" t="s">
        <v>111</v>
      </c>
      <c r="AB97" s="1"/>
      <c r="AC97" s="1"/>
      <c r="AD97" s="1"/>
      <c r="AE97" s="1" t="s">
        <v>138</v>
      </c>
      <c r="AF97" s="1" t="s">
        <v>440</v>
      </c>
      <c r="AG97" s="1">
        <v>1.5</v>
      </c>
      <c r="AH97" s="1" t="s">
        <v>114</v>
      </c>
      <c r="AI97" s="1" t="s">
        <v>115</v>
      </c>
      <c r="AJ97" s="1" t="s">
        <v>446</v>
      </c>
      <c r="AK97" s="1"/>
      <c r="AL97" s="1"/>
      <c r="AM97" s="1"/>
      <c r="AN97" s="1" t="s">
        <v>442</v>
      </c>
      <c r="AO97" s="1"/>
      <c r="AP97" s="1" t="str">
        <f>"0"</f>
        <v>0</v>
      </c>
      <c r="AQ97" s="1" t="str">
        <f>"0"</f>
        <v>0</v>
      </c>
      <c r="AR97" s="1"/>
      <c r="AS97" s="1" t="str">
        <f>"0"</f>
        <v>0</v>
      </c>
      <c r="AT97" s="1" t="str">
        <f t="shared" si="6"/>
        <v>0</v>
      </c>
      <c r="AU97" s="1"/>
      <c r="AV97" s="1"/>
      <c r="AW97" s="1"/>
      <c r="AX97" s="1"/>
      <c r="AY97" s="1"/>
      <c r="AZ97" s="1"/>
      <c r="BA97" s="1"/>
      <c r="BB97" s="1"/>
      <c r="BC97" s="1"/>
      <c r="BD97" s="1"/>
      <c r="BE97" s="1"/>
      <c r="BF97" s="1"/>
      <c r="BG97" s="1"/>
      <c r="BH97" s="1" t="s">
        <v>118</v>
      </c>
      <c r="BI97" s="1">
        <v>0</v>
      </c>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row>
    <row r="98" spans="1:93" hidden="1" x14ac:dyDescent="0.3">
      <c r="A98" s="1">
        <v>3008280</v>
      </c>
      <c r="B98" s="1">
        <v>581619</v>
      </c>
      <c r="C98" s="1" t="str">
        <f>"850626450240"</f>
        <v>850626450240</v>
      </c>
      <c r="D98" s="1" t="s">
        <v>904</v>
      </c>
      <c r="E98" s="1" t="s">
        <v>905</v>
      </c>
      <c r="F98" s="1" t="s">
        <v>906</v>
      </c>
      <c r="G98" s="2">
        <v>31224</v>
      </c>
      <c r="H98" s="1"/>
      <c r="I98" s="1" t="s">
        <v>106</v>
      </c>
      <c r="J98" s="1" t="s">
        <v>107</v>
      </c>
      <c r="K98" s="1" t="s">
        <v>108</v>
      </c>
      <c r="L98" s="1"/>
      <c r="M98" s="1"/>
      <c r="N98" s="1"/>
      <c r="O98" s="1"/>
      <c r="P98" s="1" t="s">
        <v>109</v>
      </c>
      <c r="Q98" s="1" t="s">
        <v>136</v>
      </c>
      <c r="R98" s="1"/>
      <c r="S98" s="1"/>
      <c r="T98" s="1"/>
      <c r="U98" s="1"/>
      <c r="V98" s="1"/>
      <c r="W98" s="1" t="str">
        <f>"2024-01-08T00:00:00"</f>
        <v>2024-01-08T00:00:00</v>
      </c>
      <c r="X98" s="1" t="str">
        <f>"5"</f>
        <v>5</v>
      </c>
      <c r="Y98" s="1"/>
      <c r="Z98" s="1" t="s">
        <v>110</v>
      </c>
      <c r="AA98" s="1" t="s">
        <v>703</v>
      </c>
      <c r="AB98" s="1"/>
      <c r="AC98" s="1"/>
      <c r="AD98" s="1"/>
      <c r="AE98" s="1" t="s">
        <v>138</v>
      </c>
      <c r="AF98" s="1" t="s">
        <v>113</v>
      </c>
      <c r="AG98" s="1">
        <v>0.4</v>
      </c>
      <c r="AH98" s="1" t="s">
        <v>705</v>
      </c>
      <c r="AI98" s="1" t="s">
        <v>218</v>
      </c>
      <c r="AJ98" s="1" t="s">
        <v>219</v>
      </c>
      <c r="AK98" s="1"/>
      <c r="AL98" s="1"/>
      <c r="AM98" s="1"/>
      <c r="AN98" s="1" t="s">
        <v>117</v>
      </c>
      <c r="AO98" s="1" t="s">
        <v>118</v>
      </c>
      <c r="AP98" s="1" t="str">
        <f>"19"</f>
        <v>19</v>
      </c>
      <c r="AQ98" s="1" t="str">
        <f>"19"</f>
        <v>19</v>
      </c>
      <c r="AR98" s="1" t="str">
        <f>"16"</f>
        <v>16</v>
      </c>
      <c r="AS98" s="1" t="str">
        <f>"16"</f>
        <v>16</v>
      </c>
      <c r="AT98" s="1" t="str">
        <f t="shared" si="6"/>
        <v>0</v>
      </c>
      <c r="AU98" s="1" t="str">
        <f>"kymbat_8585@bk.ru"</f>
        <v>kymbat_8585@bk.ru</v>
      </c>
      <c r="AV98" s="1" t="str">
        <f>"87773349076"</f>
        <v>87773349076</v>
      </c>
      <c r="AW98" s="1" t="s">
        <v>139</v>
      </c>
      <c r="AX98" s="1" t="s">
        <v>221</v>
      </c>
      <c r="AY98" s="1"/>
      <c r="AZ98" s="1" t="s">
        <v>183</v>
      </c>
      <c r="BA98" s="1"/>
      <c r="BB98" s="1"/>
      <c r="BC98" s="1"/>
      <c r="BD98" s="1" t="s">
        <v>270</v>
      </c>
      <c r="BE98" s="1" t="s">
        <v>122</v>
      </c>
      <c r="BF98" s="1">
        <v>0.4</v>
      </c>
      <c r="BG98" s="1" t="str">
        <f>"[6]"</f>
        <v>[6]</v>
      </c>
      <c r="BH98" s="1" t="s">
        <v>118</v>
      </c>
      <c r="BI98" s="1">
        <v>0</v>
      </c>
      <c r="BJ98" s="1"/>
      <c r="BK98" s="1"/>
      <c r="BL98" s="1"/>
      <c r="BM98" s="1"/>
      <c r="BN98" s="1" t="s">
        <v>745</v>
      </c>
      <c r="BO98" s="1"/>
      <c r="BP98" s="1"/>
      <c r="BQ98" s="1"/>
      <c r="BR98" s="1" t="s">
        <v>136</v>
      </c>
      <c r="BS98" s="1"/>
      <c r="BT98" s="1"/>
      <c r="BU98" s="1" t="s">
        <v>907</v>
      </c>
      <c r="BV98" s="1" t="s">
        <v>908</v>
      </c>
      <c r="BW98" s="1" t="s">
        <v>909</v>
      </c>
      <c r="BX98" s="1" t="s">
        <v>910</v>
      </c>
      <c r="BY98" s="1" t="s">
        <v>750</v>
      </c>
      <c r="BZ98" s="1" t="s">
        <v>911</v>
      </c>
      <c r="CA98" s="1" t="s">
        <v>912</v>
      </c>
      <c r="CB98" s="1" t="s">
        <v>913</v>
      </c>
      <c r="CC98" s="1" t="s">
        <v>914</v>
      </c>
      <c r="CD98" s="1" t="s">
        <v>164</v>
      </c>
      <c r="CE98" s="1" t="s">
        <v>915</v>
      </c>
      <c r="CF98" s="1" t="s">
        <v>146</v>
      </c>
      <c r="CG98" s="1"/>
      <c r="CH98" s="1"/>
      <c r="CI98" s="1" t="str">
        <f>"0"</f>
        <v>0</v>
      </c>
      <c r="CJ98" s="1"/>
      <c r="CK98" s="1"/>
      <c r="CL98" s="1" t="s">
        <v>136</v>
      </c>
      <c r="CM98" s="1"/>
      <c r="CN98" s="1" t="s">
        <v>132</v>
      </c>
      <c r="CO98" s="1" t="s">
        <v>118</v>
      </c>
    </row>
    <row r="99" spans="1:93" hidden="1" x14ac:dyDescent="0.3">
      <c r="A99" s="1">
        <v>3008281</v>
      </c>
      <c r="B99" s="1">
        <v>141756</v>
      </c>
      <c r="C99" s="1" t="str">
        <f>"740430301189"</f>
        <v>740430301189</v>
      </c>
      <c r="D99" s="1" t="s">
        <v>916</v>
      </c>
      <c r="E99" s="1" t="s">
        <v>917</v>
      </c>
      <c r="F99" s="1" t="s">
        <v>918</v>
      </c>
      <c r="G99" s="2">
        <v>27149</v>
      </c>
      <c r="H99" s="1"/>
      <c r="I99" s="1" t="s">
        <v>496</v>
      </c>
      <c r="J99" s="1" t="s">
        <v>107</v>
      </c>
      <c r="K99" s="1" t="s">
        <v>108</v>
      </c>
      <c r="L99" s="1"/>
      <c r="M99" s="1"/>
      <c r="N99" s="1"/>
      <c r="O99" s="1"/>
      <c r="P99" s="1" t="s">
        <v>766</v>
      </c>
      <c r="Q99" s="1" t="s">
        <v>136</v>
      </c>
      <c r="R99" s="1"/>
      <c r="S99" s="1"/>
      <c r="T99" s="1"/>
      <c r="U99" s="1"/>
      <c r="V99" s="1"/>
      <c r="W99" s="1" t="str">
        <f>"2024-02-12T00:00:00"</f>
        <v>2024-02-12T00:00:00</v>
      </c>
      <c r="X99" s="1" t="str">
        <f>"11"</f>
        <v>11</v>
      </c>
      <c r="Y99" s="1"/>
      <c r="Z99" s="1" t="s">
        <v>110</v>
      </c>
      <c r="AA99" s="1" t="s">
        <v>111</v>
      </c>
      <c r="AB99" s="1"/>
      <c r="AC99" s="1"/>
      <c r="AD99" s="1"/>
      <c r="AE99" s="1" t="s">
        <v>138</v>
      </c>
      <c r="AF99" s="1" t="s">
        <v>113</v>
      </c>
      <c r="AG99" s="1">
        <v>1</v>
      </c>
      <c r="AH99" s="1" t="s">
        <v>114</v>
      </c>
      <c r="AI99" s="1" t="s">
        <v>115</v>
      </c>
      <c r="AJ99" s="1" t="s">
        <v>116</v>
      </c>
      <c r="AK99" s="1"/>
      <c r="AL99" s="1"/>
      <c r="AM99" s="1"/>
      <c r="AN99" s="1" t="s">
        <v>117</v>
      </c>
      <c r="AO99" s="1" t="s">
        <v>118</v>
      </c>
      <c r="AP99" s="1" t="str">
        <f>"19"</f>
        <v>19</v>
      </c>
      <c r="AQ99" s="1" t="str">
        <f>"19"</f>
        <v>19</v>
      </c>
      <c r="AR99" s="1" t="str">
        <f>"19"</f>
        <v>19</v>
      </c>
      <c r="AS99" s="1" t="str">
        <f>"19"</f>
        <v>19</v>
      </c>
      <c r="AT99" s="1" t="str">
        <f t="shared" si="6"/>
        <v>0</v>
      </c>
      <c r="AU99" s="1" t="str">
        <f>"kairbekov.1974@gmail.com"</f>
        <v>kairbekov.1974@gmail.com</v>
      </c>
      <c r="AV99" s="1" t="str">
        <f>"87056362956"</f>
        <v>87056362956</v>
      </c>
      <c r="AW99" s="1" t="s">
        <v>220</v>
      </c>
      <c r="AX99" s="1" t="s">
        <v>140</v>
      </c>
      <c r="AY99" s="1"/>
      <c r="AZ99" s="1" t="s">
        <v>120</v>
      </c>
      <c r="BA99" s="1"/>
      <c r="BB99" s="1"/>
      <c r="BC99" s="1"/>
      <c r="BD99" s="1" t="s">
        <v>501</v>
      </c>
      <c r="BE99" s="1" t="s">
        <v>122</v>
      </c>
      <c r="BF99" s="1">
        <v>1</v>
      </c>
      <c r="BG99" s="1" t="str">
        <f>"[16]"</f>
        <v>[16]</v>
      </c>
      <c r="BH99" s="1" t="s">
        <v>118</v>
      </c>
      <c r="BI99" s="1">
        <v>0</v>
      </c>
      <c r="BJ99" s="1"/>
      <c r="BK99" s="1"/>
      <c r="BL99" s="1"/>
      <c r="BM99" s="1"/>
      <c r="BN99" s="1" t="s">
        <v>745</v>
      </c>
      <c r="BO99" s="1"/>
      <c r="BP99" s="1"/>
      <c r="BQ99" s="1"/>
      <c r="BR99" s="1" t="s">
        <v>136</v>
      </c>
      <c r="BS99" s="1"/>
      <c r="BT99" s="1"/>
      <c r="BU99" s="1" t="s">
        <v>171</v>
      </c>
      <c r="BV99" s="1" t="s">
        <v>919</v>
      </c>
      <c r="BW99" s="1" t="s">
        <v>920</v>
      </c>
      <c r="BX99" s="1" t="s">
        <v>174</v>
      </c>
      <c r="BY99" s="1" t="s">
        <v>175</v>
      </c>
      <c r="BZ99" s="1" t="s">
        <v>837</v>
      </c>
      <c r="CA99" s="1" t="s">
        <v>921</v>
      </c>
      <c r="CB99" s="1" t="s">
        <v>922</v>
      </c>
      <c r="CC99" s="1" t="s">
        <v>923</v>
      </c>
      <c r="CD99" s="1" t="s">
        <v>164</v>
      </c>
      <c r="CE99" s="1" t="s">
        <v>924</v>
      </c>
      <c r="CF99" s="3">
        <v>45383</v>
      </c>
      <c r="CG99" s="1"/>
      <c r="CH99" s="1"/>
      <c r="CI99" s="1" t="str">
        <f>"0"</f>
        <v>0</v>
      </c>
      <c r="CJ99" s="1"/>
      <c r="CK99" s="1"/>
      <c r="CL99" s="1" t="s">
        <v>136</v>
      </c>
      <c r="CM99" s="1"/>
      <c r="CN99" s="1" t="s">
        <v>132</v>
      </c>
      <c r="CO99" s="1" t="s">
        <v>118</v>
      </c>
    </row>
    <row r="100" spans="1:93" hidden="1" x14ac:dyDescent="0.3">
      <c r="A100" s="1">
        <v>3008283</v>
      </c>
      <c r="B100" s="1">
        <v>157451</v>
      </c>
      <c r="C100" s="1" t="str">
        <f>"930922350865"</f>
        <v>930922350865</v>
      </c>
      <c r="D100" s="1" t="s">
        <v>925</v>
      </c>
      <c r="E100" s="1" t="s">
        <v>926</v>
      </c>
      <c r="F100" s="1" t="s">
        <v>577</v>
      </c>
      <c r="G100" s="2">
        <v>34234</v>
      </c>
      <c r="H100" s="1"/>
      <c r="I100" s="1" t="s">
        <v>496</v>
      </c>
      <c r="J100" s="1" t="s">
        <v>107</v>
      </c>
      <c r="K100" s="1" t="s">
        <v>108</v>
      </c>
      <c r="L100" s="1"/>
      <c r="M100" s="1"/>
      <c r="N100" s="1"/>
      <c r="O100" s="1"/>
      <c r="P100" s="1" t="s">
        <v>497</v>
      </c>
      <c r="Q100" s="1" t="s">
        <v>136</v>
      </c>
      <c r="R100" s="1"/>
      <c r="S100" s="1"/>
      <c r="T100" s="1"/>
      <c r="U100" s="1"/>
      <c r="V100" s="1"/>
      <c r="W100" s="1" t="str">
        <f>"2024-02-12T00:00:00"</f>
        <v>2024-02-12T00:00:00</v>
      </c>
      <c r="X100" s="1" t="str">
        <f>"12"</f>
        <v>12</v>
      </c>
      <c r="Y100" s="1"/>
      <c r="Z100" s="1" t="s">
        <v>110</v>
      </c>
      <c r="AA100" s="1" t="s">
        <v>703</v>
      </c>
      <c r="AB100" s="1"/>
      <c r="AC100" s="1"/>
      <c r="AD100" s="1"/>
      <c r="AE100" s="1" t="s">
        <v>138</v>
      </c>
      <c r="AF100" s="1" t="s">
        <v>499</v>
      </c>
      <c r="AG100" s="1">
        <v>1</v>
      </c>
      <c r="AH100" s="1" t="s">
        <v>705</v>
      </c>
      <c r="AI100" s="1" t="s">
        <v>115</v>
      </c>
      <c r="AJ100" s="1" t="s">
        <v>116</v>
      </c>
      <c r="AK100" s="1"/>
      <c r="AL100" s="1"/>
      <c r="AM100" s="1"/>
      <c r="AN100" s="1" t="s">
        <v>117</v>
      </c>
      <c r="AO100" s="1" t="s">
        <v>118</v>
      </c>
      <c r="AP100" s="1" t="str">
        <f>"2"</f>
        <v>2</v>
      </c>
      <c r="AQ100" s="1" t="str">
        <f>"2"</f>
        <v>2</v>
      </c>
      <c r="AR100" s="1" t="str">
        <f>"2"</f>
        <v>2</v>
      </c>
      <c r="AS100" s="1" t="str">
        <f>"2"</f>
        <v>2</v>
      </c>
      <c r="AT100" s="1" t="str">
        <f t="shared" si="6"/>
        <v>0</v>
      </c>
      <c r="AU100" s="1" t="str">
        <f>"shakhmetov2293@mail.ru"</f>
        <v>shakhmetov2293@mail.ru</v>
      </c>
      <c r="AV100" s="1" t="str">
        <f>"87077085541"</f>
        <v>87077085541</v>
      </c>
      <c r="AW100" s="1" t="s">
        <v>119</v>
      </c>
      <c r="AX100" s="1" t="s">
        <v>304</v>
      </c>
      <c r="AY100" s="1"/>
      <c r="AZ100" s="1" t="s">
        <v>120</v>
      </c>
      <c r="BA100" s="1"/>
      <c r="BB100" s="1"/>
      <c r="BC100" s="1"/>
      <c r="BD100" s="1" t="s">
        <v>500</v>
      </c>
      <c r="BE100" s="1" t="s">
        <v>122</v>
      </c>
      <c r="BF100" s="1"/>
      <c r="BG100" s="1"/>
      <c r="BH100" s="1" t="s">
        <v>118</v>
      </c>
      <c r="BI100" s="1">
        <v>0</v>
      </c>
      <c r="BJ100" s="1"/>
      <c r="BK100" s="1"/>
      <c r="BL100" s="1"/>
      <c r="BM100" s="1"/>
      <c r="BN100" s="1" t="s">
        <v>745</v>
      </c>
      <c r="BO100" s="1"/>
      <c r="BP100" s="1"/>
      <c r="BQ100" s="1"/>
      <c r="BR100" s="1" t="s">
        <v>136</v>
      </c>
      <c r="BS100" s="1"/>
      <c r="BT100" s="1"/>
      <c r="BU100" s="1" t="s">
        <v>123</v>
      </c>
      <c r="BV100" s="1" t="s">
        <v>501</v>
      </c>
      <c r="BW100" s="1" t="s">
        <v>610</v>
      </c>
      <c r="BX100" s="1" t="s">
        <v>125</v>
      </c>
      <c r="BY100" s="1" t="s">
        <v>341</v>
      </c>
      <c r="BZ100" s="1">
        <v>40</v>
      </c>
      <c r="CA100" s="1" t="s">
        <v>927</v>
      </c>
      <c r="CB100" s="1" t="s">
        <v>928</v>
      </c>
      <c r="CC100" s="1">
        <v>9388</v>
      </c>
      <c r="CD100" s="1" t="s">
        <v>164</v>
      </c>
      <c r="CE100" s="1" t="s">
        <v>929</v>
      </c>
      <c r="CF100" s="1" t="s">
        <v>146</v>
      </c>
      <c r="CG100" s="1"/>
      <c r="CH100" s="1"/>
      <c r="CI100" s="1" t="str">
        <f>"0"</f>
        <v>0</v>
      </c>
      <c r="CJ100" s="1"/>
      <c r="CK100" s="1"/>
      <c r="CL100" s="1" t="s">
        <v>136</v>
      </c>
      <c r="CM100" s="1"/>
      <c r="CN100" s="1" t="s">
        <v>132</v>
      </c>
      <c r="CO100" s="1" t="s">
        <v>118</v>
      </c>
    </row>
    <row r="101" spans="1:93" x14ac:dyDescent="0.3">
      <c r="A101" s="1">
        <v>3011172</v>
      </c>
      <c r="B101" s="1">
        <v>1504237</v>
      </c>
      <c r="C101" s="1" t="str">
        <f>"900306450936"</f>
        <v>900306450936</v>
      </c>
      <c r="D101" s="1" t="s">
        <v>930</v>
      </c>
      <c r="E101" s="1" t="s">
        <v>931</v>
      </c>
      <c r="F101" s="1" t="s">
        <v>932</v>
      </c>
      <c r="G101" s="2">
        <v>32938</v>
      </c>
      <c r="H101" s="1"/>
      <c r="I101" s="1" t="s">
        <v>106</v>
      </c>
      <c r="J101" s="1" t="s">
        <v>107</v>
      </c>
      <c r="K101" s="1" t="s">
        <v>108</v>
      </c>
      <c r="L101" s="1"/>
      <c r="M101" s="1"/>
      <c r="N101" s="1"/>
      <c r="O101" s="1"/>
      <c r="P101" s="1" t="s">
        <v>109</v>
      </c>
      <c r="Q101" s="1" t="s">
        <v>136</v>
      </c>
      <c r="R101" s="1"/>
      <c r="S101" s="1"/>
      <c r="T101" s="1"/>
      <c r="U101" s="1"/>
      <c r="V101" s="1"/>
      <c r="W101" s="1" t="str">
        <f>"2024-01-23T00:00:00"</f>
        <v>2024-01-23T00:00:00</v>
      </c>
      <c r="X101" s="1" t="str">
        <f>"7"</f>
        <v>7</v>
      </c>
      <c r="Y101" s="1"/>
      <c r="Z101" s="1" t="s">
        <v>110</v>
      </c>
      <c r="AA101" s="1" t="s">
        <v>703</v>
      </c>
      <c r="AB101" s="1"/>
      <c r="AC101" s="1"/>
      <c r="AD101" s="1"/>
      <c r="AE101" s="1" t="s">
        <v>138</v>
      </c>
      <c r="AF101" s="1" t="s">
        <v>788</v>
      </c>
      <c r="AG101" s="1">
        <v>1</v>
      </c>
      <c r="AH101" s="1" t="s">
        <v>705</v>
      </c>
      <c r="AI101" s="1" t="s">
        <v>115</v>
      </c>
      <c r="AJ101" s="1" t="s">
        <v>706</v>
      </c>
      <c r="AK101" s="1"/>
      <c r="AL101" s="1"/>
      <c r="AM101" s="1"/>
      <c r="AN101" s="1" t="s">
        <v>117</v>
      </c>
      <c r="AO101" s="1"/>
      <c r="AP101" s="1" t="str">
        <f>"10"</f>
        <v>10</v>
      </c>
      <c r="AQ101" s="1" t="str">
        <f>"10"</f>
        <v>10</v>
      </c>
      <c r="AR101" s="1"/>
      <c r="AS101" s="1" t="str">
        <f>"0"</f>
        <v>0</v>
      </c>
      <c r="AT101" s="1" t="str">
        <f t="shared" si="6"/>
        <v>0</v>
      </c>
      <c r="AU101" s="1"/>
      <c r="AV101" s="1"/>
      <c r="AW101" s="1"/>
      <c r="AX101" s="1"/>
      <c r="AY101" s="1"/>
      <c r="AZ101" s="1"/>
      <c r="BA101" s="1"/>
      <c r="BB101" s="1"/>
      <c r="BC101" s="1"/>
      <c r="BD101" s="1"/>
      <c r="BE101" s="1"/>
      <c r="BF101" s="1"/>
      <c r="BG101" s="1"/>
      <c r="BH101" s="1" t="s">
        <v>118</v>
      </c>
      <c r="BI101" s="1">
        <v>0</v>
      </c>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row>
    <row r="102" spans="1:93" hidden="1" x14ac:dyDescent="0.3">
      <c r="A102" s="1">
        <v>3011391</v>
      </c>
      <c r="B102" s="1">
        <v>567597</v>
      </c>
      <c r="C102" s="1" t="str">
        <f>"870823450027"</f>
        <v>870823450027</v>
      </c>
      <c r="D102" s="1" t="s">
        <v>904</v>
      </c>
      <c r="E102" s="1" t="s">
        <v>664</v>
      </c>
      <c r="F102" s="1" t="s">
        <v>933</v>
      </c>
      <c r="G102" s="2">
        <v>32012</v>
      </c>
      <c r="H102" s="1"/>
      <c r="I102" s="1" t="s">
        <v>106</v>
      </c>
      <c r="J102" s="1" t="s">
        <v>107</v>
      </c>
      <c r="K102" s="1" t="s">
        <v>108</v>
      </c>
      <c r="L102" s="1"/>
      <c r="M102" s="1"/>
      <c r="N102" s="1"/>
      <c r="O102" s="1"/>
      <c r="P102" s="1" t="s">
        <v>109</v>
      </c>
      <c r="Q102" s="1" t="s">
        <v>136</v>
      </c>
      <c r="R102" s="1"/>
      <c r="S102" s="1"/>
      <c r="T102" s="1"/>
      <c r="U102" s="1"/>
      <c r="V102" s="1"/>
      <c r="W102" s="1" t="str">
        <f>"2024-02-05T00:00:00"</f>
        <v>2024-02-05T00:00:00</v>
      </c>
      <c r="X102" s="1" t="str">
        <f>"9/1"</f>
        <v>9/1</v>
      </c>
      <c r="Y102" s="1"/>
      <c r="Z102" s="1" t="s">
        <v>366</v>
      </c>
      <c r="AA102" s="1" t="s">
        <v>111</v>
      </c>
      <c r="AB102" s="1"/>
      <c r="AC102" s="1"/>
      <c r="AD102" s="1"/>
      <c r="AE102" s="1" t="s">
        <v>138</v>
      </c>
      <c r="AF102" s="1" t="s">
        <v>934</v>
      </c>
      <c r="AG102" s="1">
        <v>1</v>
      </c>
      <c r="AH102" s="1" t="s">
        <v>114</v>
      </c>
      <c r="AI102" s="1" t="s">
        <v>115</v>
      </c>
      <c r="AJ102" s="1" t="s">
        <v>116</v>
      </c>
      <c r="AK102" s="1"/>
      <c r="AL102" s="1"/>
      <c r="AM102" s="1"/>
      <c r="AN102" s="1" t="s">
        <v>117</v>
      </c>
      <c r="AO102" s="1" t="s">
        <v>151</v>
      </c>
      <c r="AP102" s="1" t="str">
        <f>"17"</f>
        <v>17</v>
      </c>
      <c r="AQ102" s="1" t="str">
        <f>"17"</f>
        <v>17</v>
      </c>
      <c r="AR102" s="1" t="str">
        <f>"17"</f>
        <v>17</v>
      </c>
      <c r="AS102" s="1" t="str">
        <f>"17"</f>
        <v>17</v>
      </c>
      <c r="AT102" s="1" t="str">
        <f t="shared" si="6"/>
        <v>0</v>
      </c>
      <c r="AU102" s="1" t="str">
        <f>"shkola.zhaskayrat@mail.ru"</f>
        <v>shkola.zhaskayrat@mail.ru</v>
      </c>
      <c r="AV102" s="1" t="str">
        <f>"87761470347"</f>
        <v>87761470347</v>
      </c>
      <c r="AW102" s="1" t="s">
        <v>152</v>
      </c>
      <c r="AX102" s="1" t="s">
        <v>140</v>
      </c>
      <c r="AY102" s="1"/>
      <c r="AZ102" s="1" t="s">
        <v>120</v>
      </c>
      <c r="BA102" s="1"/>
      <c r="BB102" s="1"/>
      <c r="BC102" s="1"/>
      <c r="BD102" s="1"/>
      <c r="BE102" s="1"/>
      <c r="BF102" s="1"/>
      <c r="BG102" s="1"/>
      <c r="BH102" s="1" t="s">
        <v>118</v>
      </c>
      <c r="BI102" s="1">
        <v>0</v>
      </c>
      <c r="BJ102" s="1"/>
      <c r="BK102" s="1"/>
      <c r="BL102" s="1"/>
      <c r="BM102" s="1"/>
      <c r="BN102" s="1" t="s">
        <v>256</v>
      </c>
      <c r="BO102" s="1"/>
      <c r="BP102" s="1"/>
      <c r="BQ102" s="1"/>
      <c r="BR102" s="1" t="s">
        <v>131</v>
      </c>
      <c r="BS102" s="1" t="s">
        <v>502</v>
      </c>
      <c r="BT102" s="1"/>
      <c r="BU102" s="1" t="s">
        <v>535</v>
      </c>
      <c r="BV102" s="1"/>
      <c r="BW102" s="1"/>
      <c r="BX102" s="1"/>
      <c r="BY102" s="1"/>
      <c r="BZ102" s="1"/>
      <c r="CA102" s="1"/>
      <c r="CB102" s="1"/>
      <c r="CC102" s="1"/>
      <c r="CD102" s="1" t="s">
        <v>164</v>
      </c>
      <c r="CE102" s="1"/>
      <c r="CF102" s="1"/>
      <c r="CG102" s="1"/>
      <c r="CH102" s="1"/>
      <c r="CI102" s="1" t="str">
        <f>"0"</f>
        <v>0</v>
      </c>
      <c r="CJ102" s="1"/>
      <c r="CK102" s="1"/>
      <c r="CL102" s="1" t="s">
        <v>136</v>
      </c>
      <c r="CM102" s="1"/>
      <c r="CN102" s="1" t="s">
        <v>132</v>
      </c>
      <c r="CO102" s="1" t="s">
        <v>194</v>
      </c>
    </row>
    <row r="103" spans="1:93" x14ac:dyDescent="0.3">
      <c r="A103" s="1">
        <v>3012065</v>
      </c>
      <c r="B103" s="1">
        <v>1529062</v>
      </c>
      <c r="C103" s="1" t="str">
        <f>"710823450471"</f>
        <v>710823450471</v>
      </c>
      <c r="D103" s="1" t="s">
        <v>935</v>
      </c>
      <c r="E103" s="1" t="s">
        <v>936</v>
      </c>
      <c r="F103" s="1" t="s">
        <v>937</v>
      </c>
      <c r="G103" s="2">
        <v>26168</v>
      </c>
      <c r="H103" s="1"/>
      <c r="I103" s="1" t="s">
        <v>106</v>
      </c>
      <c r="J103" s="1" t="s">
        <v>107</v>
      </c>
      <c r="K103" s="1" t="s">
        <v>108</v>
      </c>
      <c r="L103" s="1"/>
      <c r="M103" s="1"/>
      <c r="N103" s="1"/>
      <c r="O103" s="1"/>
      <c r="P103" s="1" t="s">
        <v>109</v>
      </c>
      <c r="Q103" s="1" t="s">
        <v>136</v>
      </c>
      <c r="R103" s="1"/>
      <c r="S103" s="1"/>
      <c r="T103" s="1"/>
      <c r="U103" s="1"/>
      <c r="V103" s="1"/>
      <c r="W103" s="1" t="str">
        <f>"2022-05-17T00:00:00"</f>
        <v>2022-05-17T00:00:00</v>
      </c>
      <c r="X103" s="1" t="str">
        <f>"68"</f>
        <v>68</v>
      </c>
      <c r="Y103" s="1"/>
      <c r="Z103" s="1" t="s">
        <v>110</v>
      </c>
      <c r="AA103" s="1" t="s">
        <v>111</v>
      </c>
      <c r="AB103" s="1"/>
      <c r="AC103" s="1"/>
      <c r="AD103" s="1"/>
      <c r="AE103" s="1" t="s">
        <v>138</v>
      </c>
      <c r="AF103" s="1" t="s">
        <v>440</v>
      </c>
      <c r="AG103" s="1">
        <v>1.5</v>
      </c>
      <c r="AH103" s="1" t="s">
        <v>114</v>
      </c>
      <c r="AI103" s="1" t="s">
        <v>115</v>
      </c>
      <c r="AJ103" s="1" t="s">
        <v>446</v>
      </c>
      <c r="AK103" s="1"/>
      <c r="AL103" s="1"/>
      <c r="AM103" s="1"/>
      <c r="AN103" s="1" t="s">
        <v>442</v>
      </c>
      <c r="AO103" s="1"/>
      <c r="AP103" s="1" t="str">
        <f>"6"</f>
        <v>6</v>
      </c>
      <c r="AQ103" s="1" t="str">
        <f>"7"</f>
        <v>7</v>
      </c>
      <c r="AR103" s="1"/>
      <c r="AS103" s="1" t="str">
        <f>"0"</f>
        <v>0</v>
      </c>
      <c r="AT103" s="1" t="str">
        <f>"1"</f>
        <v>1</v>
      </c>
      <c r="AU103" s="1"/>
      <c r="AV103" s="1"/>
      <c r="AW103" s="1"/>
      <c r="AX103" s="1"/>
      <c r="AY103" s="1"/>
      <c r="AZ103" s="1"/>
      <c r="BA103" s="1"/>
      <c r="BB103" s="1"/>
      <c r="BC103" s="1"/>
      <c r="BD103" s="1"/>
      <c r="BE103" s="1"/>
      <c r="BF103" s="1"/>
      <c r="BG103" s="1"/>
      <c r="BH103" s="1" t="s">
        <v>118</v>
      </c>
      <c r="BI103" s="1">
        <v>0</v>
      </c>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row>
    <row r="104" spans="1:93"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row>
    <row r="105" spans="1:93"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row>
    <row r="106" spans="1:93"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row>
    <row r="107" spans="1:93"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row>
    <row r="108" spans="1:93"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row>
    <row r="109" spans="1:93"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row>
    <row r="110" spans="1:93"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row>
    <row r="111" spans="1:93"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row>
    <row r="112" spans="1:93"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row>
    <row r="113" spans="1:93"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row>
    <row r="114" spans="1:93"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row>
    <row r="115" spans="1:93"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row>
    <row r="116" spans="1:93"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row>
    <row r="117" spans="1:93"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row>
    <row r="118" spans="1:93"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row>
    <row r="119" spans="1:93"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row>
    <row r="120" spans="1:93"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row>
    <row r="121" spans="1:93"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row>
    <row r="122" spans="1:93"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row>
    <row r="123" spans="1:93"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row>
    <row r="124" spans="1:93"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row>
    <row r="125" spans="1:93"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row>
    <row r="126" spans="1:93"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row>
    <row r="127" spans="1:93"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row>
    <row r="128" spans="1:93"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row>
    <row r="129" spans="1:93"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row>
    <row r="130" spans="1:93"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row>
    <row r="131" spans="1:93"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row>
    <row r="132" spans="1:93"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row>
    <row r="133" spans="1:93"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row>
    <row r="134" spans="1:93"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row>
    <row r="135" spans="1:93"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row>
    <row r="136" spans="1:93"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row>
    <row r="137" spans="1:93"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row>
    <row r="138" spans="1:93"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row>
    <row r="139" spans="1:93"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row>
    <row r="140" spans="1:93"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row>
    <row r="141" spans="1:93"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row>
    <row r="142" spans="1:93"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row>
    <row r="143" spans="1:93"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row>
    <row r="144" spans="1:93"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row>
    <row r="145" spans="1:93"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row>
    <row r="146" spans="1:93"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row>
    <row r="147" spans="1:93"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row>
    <row r="148" spans="1:93"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row>
    <row r="149" spans="1:93"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row>
    <row r="150" spans="1:93"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row>
    <row r="151" spans="1:93"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row>
    <row r="152" spans="1:93"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row>
    <row r="153" spans="1:93"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row>
    <row r="154" spans="1:93"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row>
    <row r="155" spans="1:93"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row>
    <row r="156" spans="1:93"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row>
    <row r="157" spans="1:93"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row>
    <row r="158" spans="1:93"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row>
    <row r="159" spans="1:93"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row>
    <row r="160" spans="1:93"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row>
    <row r="161" spans="1:93"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row>
    <row r="162" spans="1:93"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row>
    <row r="163" spans="1:93"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row>
    <row r="164" spans="1:93"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row>
    <row r="165" spans="1:93"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row>
    <row r="166" spans="1:93"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row>
    <row r="167" spans="1:93"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row>
    <row r="168" spans="1:93"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row>
    <row r="169" spans="1:93"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row>
    <row r="170" spans="1:93"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row>
    <row r="171" spans="1:93"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row>
    <row r="172" spans="1:93"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row>
    <row r="173" spans="1:93"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row>
    <row r="174" spans="1:93"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row>
    <row r="175" spans="1:93"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row>
    <row r="176" spans="1:93"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row>
    <row r="177" spans="1:93"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row>
    <row r="178" spans="1:93"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row>
    <row r="179" spans="1:93"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row>
    <row r="180" spans="1:93"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row>
    <row r="181" spans="1:93"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row>
    <row r="182" spans="1:93"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row>
    <row r="183" spans="1:93"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row>
    <row r="184" spans="1:93"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row>
    <row r="185" spans="1:93"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row>
    <row r="186" spans="1:93"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row>
    <row r="187" spans="1:93"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row>
    <row r="188" spans="1:93"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row>
    <row r="189" spans="1:93"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row>
    <row r="190" spans="1:93"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row>
    <row r="191" spans="1:93"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row>
    <row r="192" spans="1:93"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row>
    <row r="193" spans="1:93"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row>
    <row r="194" spans="1:93"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row>
    <row r="195" spans="1:93"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row>
    <row r="196" spans="1:93"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row>
    <row r="197" spans="1:93"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row>
    <row r="198" spans="1:93"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row>
    <row r="199" spans="1:93"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row>
    <row r="200" spans="1:93"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row>
    <row r="201" spans="1:93"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row>
    <row r="202" spans="1:93"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row>
    <row r="203" spans="1:93"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row>
    <row r="204" spans="1:93"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row>
    <row r="205" spans="1:93"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row>
    <row r="206" spans="1:93"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row>
    <row r="207" spans="1:93"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row>
    <row r="208" spans="1:93"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row>
    <row r="209" spans="1:93"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row>
    <row r="210" spans="1:93"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row>
    <row r="211" spans="1:93"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row>
    <row r="212" spans="1:93"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row>
    <row r="213" spans="1:93"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row>
    <row r="214" spans="1:93"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row>
    <row r="215" spans="1:93"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row>
    <row r="216" spans="1:93"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row>
    <row r="217" spans="1:93"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row>
    <row r="218" spans="1:93"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row>
    <row r="219" spans="1:93"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row>
    <row r="220" spans="1:93"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row>
    <row r="221" spans="1:93"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row>
    <row r="222" spans="1:93"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row>
    <row r="223" spans="1:93"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row>
    <row r="224" spans="1:93"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row>
    <row r="225" spans="1:93"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row>
    <row r="226" spans="1:93"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row>
    <row r="227" spans="1:93"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row>
    <row r="228" spans="1:93"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row>
    <row r="229" spans="1:93"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row>
    <row r="230" spans="1:93"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row>
    <row r="231" spans="1:93"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row>
    <row r="232" spans="1:93"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row>
    <row r="233" spans="1:93"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row>
    <row r="234" spans="1:93"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row>
    <row r="235" spans="1:93"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row>
    <row r="236" spans="1:93"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row>
    <row r="237" spans="1:93"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row>
    <row r="238" spans="1:93"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row>
    <row r="239" spans="1:93"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row>
    <row r="240" spans="1:93"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row>
    <row r="241" spans="1:93"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row>
    <row r="242" spans="1:93"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row>
    <row r="243" spans="1:93"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row>
    <row r="244" spans="1:93"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row>
    <row r="245" spans="1:93"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row>
    <row r="246" spans="1:93"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row>
    <row r="247" spans="1:93"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row>
    <row r="248" spans="1:93"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row>
    <row r="249" spans="1:93"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row>
    <row r="250" spans="1:93"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row>
    <row r="251" spans="1:93"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row>
    <row r="252" spans="1:93"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row>
    <row r="253" spans="1:93"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row>
    <row r="254" spans="1:93"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row>
    <row r="255" spans="1:93"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row>
    <row r="256" spans="1:93"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row>
    <row r="257" spans="1:93"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row>
    <row r="258" spans="1:93"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row>
    <row r="259" spans="1:93"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row>
    <row r="260" spans="1:93"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row>
    <row r="261" spans="1:93"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row>
    <row r="262" spans="1:93"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row>
    <row r="263" spans="1:93"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row>
    <row r="264" spans="1:93"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row>
    <row r="265" spans="1:93"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row>
    <row r="266" spans="1:93"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row>
    <row r="267" spans="1:93"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row>
    <row r="268" spans="1:93"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row>
    <row r="269" spans="1:93"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row>
    <row r="270" spans="1:93"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row>
    <row r="271" spans="1:93"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row>
    <row r="272" spans="1:93"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row>
    <row r="273" spans="1:93"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row>
    <row r="274" spans="1:93"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row>
    <row r="275" spans="1:93"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row>
    <row r="276" spans="1:93"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row>
    <row r="277" spans="1:93"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row>
    <row r="278" spans="1:93"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row>
    <row r="279" spans="1:93"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row>
    <row r="280" spans="1:93"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row>
    <row r="281" spans="1:93"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row>
    <row r="282" spans="1:93"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row>
    <row r="283" spans="1:93"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row>
    <row r="284" spans="1:93"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row>
    <row r="285" spans="1:93"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row>
    <row r="286" spans="1:93"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row>
    <row r="287" spans="1:93"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row>
    <row r="288" spans="1:93"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row>
    <row r="289" spans="1:93"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row>
    <row r="290" spans="1:93"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row>
    <row r="291" spans="1:93"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row>
    <row r="292" spans="1:93"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row>
    <row r="293" spans="1:93"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row>
    <row r="294" spans="1:93"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row>
    <row r="295" spans="1:93"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row>
    <row r="296" spans="1:93"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row>
    <row r="297" spans="1:93"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row>
    <row r="298" spans="1:93"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row>
    <row r="299" spans="1:93"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row>
    <row r="300" spans="1:93"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row>
    <row r="301" spans="1:93"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row>
    <row r="302" spans="1:93"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row>
    <row r="303" spans="1:93"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row>
    <row r="304" spans="1:93"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row>
    <row r="305" spans="1:93"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row>
    <row r="306" spans="1:93"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row>
    <row r="307" spans="1:93"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row>
    <row r="308" spans="1:93"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row>
    <row r="309" spans="1:93"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row>
    <row r="310" spans="1:93"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row>
    <row r="311" spans="1:93"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row>
    <row r="312" spans="1:93"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row>
    <row r="313" spans="1:93"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row>
    <row r="314" spans="1:93"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row>
    <row r="315" spans="1:93"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row>
    <row r="316" spans="1:93"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row>
    <row r="317" spans="1:93"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row>
    <row r="318" spans="1:93"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row>
    <row r="319" spans="1:93"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row>
    <row r="320" spans="1:93"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row>
    <row r="321" spans="1:93"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row>
    <row r="322" spans="1:93"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row>
    <row r="323" spans="1:93"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row>
    <row r="324" spans="1:93"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row>
    <row r="325" spans="1:93"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row>
    <row r="326" spans="1:93"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row>
    <row r="327" spans="1:93"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row>
    <row r="328" spans="1:93"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row>
    <row r="329" spans="1:93"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row>
    <row r="330" spans="1:93"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row>
    <row r="331" spans="1:93"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row>
    <row r="332" spans="1:93"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row>
    <row r="333" spans="1:93"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row>
    <row r="334" spans="1:93"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row>
    <row r="335" spans="1:93"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row>
    <row r="336" spans="1:93"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row>
    <row r="337" spans="1:93"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row>
    <row r="338" spans="1:93"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row>
    <row r="339" spans="1:93"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row>
    <row r="340" spans="1:93"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row>
    <row r="341" spans="1:93"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row>
    <row r="342" spans="1:93"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row>
    <row r="343" spans="1:93"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row>
    <row r="344" spans="1:93"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row>
    <row r="345" spans="1:93"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row>
    <row r="346" spans="1:93"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row>
    <row r="347" spans="1:93"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row>
    <row r="348" spans="1:93"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row>
    <row r="349" spans="1:93"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row>
    <row r="350" spans="1:93"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row>
    <row r="351" spans="1:93"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row>
    <row r="352" spans="1:93"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row>
    <row r="353" spans="1:93"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row>
    <row r="354" spans="1:93"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row>
    <row r="355" spans="1:93"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row>
    <row r="356" spans="1:93"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row>
    <row r="357" spans="1:93"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row>
    <row r="358" spans="1:93"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row>
    <row r="359" spans="1:93"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row>
    <row r="360" spans="1:93"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row>
    <row r="361" spans="1:93"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row>
    <row r="362" spans="1:93"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row>
    <row r="363" spans="1:93"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row>
  </sheetData>
  <autoFilter ref="A1:CY103">
    <filterColumn colId="31">
      <filters>
        <filter val="IT специалист"/>
        <filter val="бухгалтер"/>
        <filter val="вахтер (на каждое здание)"/>
        <filter val="гардеробщик"/>
        <filter val="главный бухгалтер"/>
        <filter val="дворник"/>
        <filter val="делопроизводитель"/>
        <filter val="заведующий библиотекой"/>
        <filter val="заведующий хозяйством"/>
        <filter val="заместитель заведующего по хозяйственной части"/>
        <filter val="секретарь"/>
        <filter val="уборщик служебных помещений"/>
        <filter val="электрик"/>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Коллектив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Гулзада Хуаныш</dc:creator>
  <cp:lastModifiedBy>gulek</cp:lastModifiedBy>
  <cp:lastPrinted>2024-02-22T05:38:25Z</cp:lastPrinted>
  <dcterms:created xsi:type="dcterms:W3CDTF">2024-02-22T05:20:55Z</dcterms:created>
  <dcterms:modified xsi:type="dcterms:W3CDTF">2024-02-22T05:47:27Z</dcterms:modified>
</cp:coreProperties>
</file>